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ashenkoMV\Desktop\"/>
    </mc:Choice>
  </mc:AlternateContent>
  <bookViews>
    <workbookView xWindow="0" yWindow="0" windowWidth="28800" windowHeight="11835"/>
  </bookViews>
  <sheets>
    <sheet name="Фин.план (2)_итог (2)" sheetId="1" r:id="rId1"/>
  </sheets>
  <externalReferences>
    <externalReference r:id="rId2"/>
    <externalReference r:id="rId3"/>
    <externalReference r:id="rId4"/>
  </externalReferences>
  <definedNames>
    <definedName name="FIRST_PERIOD_IN_LT">[1]Титульный!$E$19</definedName>
    <definedName name="god">[1]Титульный!$E$23</definedName>
    <definedName name="REGULATION_METHODS">[1]Титульный!$E$17</definedName>
    <definedName name="_xlnm.Print_Area" localSheetId="0">'Фин.план (2)_итог (2)'!$A$1:$J$387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J30" i="1"/>
  <c r="J31" i="1"/>
  <c r="K31" i="1"/>
  <c r="J32" i="1"/>
  <c r="K32" i="1"/>
  <c r="J33" i="1"/>
  <c r="K33" i="1"/>
  <c r="J34" i="1"/>
  <c r="K34" i="1"/>
  <c r="J35" i="1"/>
  <c r="K35" i="1"/>
  <c r="E36" i="1"/>
  <c r="E30" i="1" s="1"/>
  <c r="I36" i="1"/>
  <c r="I30" i="1" s="1"/>
  <c r="J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L47" i="1"/>
  <c r="M47" i="1"/>
  <c r="J48" i="1"/>
  <c r="K48" i="1"/>
  <c r="J49" i="1"/>
  <c r="K49" i="1"/>
  <c r="J50" i="1"/>
  <c r="K50" i="1"/>
  <c r="J51" i="1"/>
  <c r="K51" i="1"/>
  <c r="J52" i="1"/>
  <c r="K52" i="1"/>
  <c r="J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G62" i="1"/>
  <c r="J62" i="1"/>
  <c r="J63" i="1"/>
  <c r="K63" i="1"/>
  <c r="E64" i="1"/>
  <c r="E62" i="1" s="1"/>
  <c r="G64" i="1"/>
  <c r="I64" i="1"/>
  <c r="I62" i="1" s="1"/>
  <c r="J64" i="1"/>
  <c r="K64" i="1"/>
  <c r="E65" i="1"/>
  <c r="G65" i="1"/>
  <c r="K65" i="1" s="1"/>
  <c r="I65" i="1"/>
  <c r="J65" i="1"/>
  <c r="J66" i="1"/>
  <c r="K66" i="1"/>
  <c r="J67" i="1"/>
  <c r="K67" i="1"/>
  <c r="J68" i="1"/>
  <c r="K68" i="1"/>
  <c r="J69" i="1"/>
  <c r="K69" i="1"/>
  <c r="E70" i="1"/>
  <c r="J70" i="1"/>
  <c r="K70" i="1"/>
  <c r="E71" i="1"/>
  <c r="J71" i="1"/>
  <c r="J72" i="1"/>
  <c r="K72" i="1"/>
  <c r="I73" i="1"/>
  <c r="K73" i="1" s="1"/>
  <c r="J73" i="1"/>
  <c r="J74" i="1"/>
  <c r="K74" i="1"/>
  <c r="J75" i="1"/>
  <c r="K75" i="1"/>
  <c r="E76" i="1"/>
  <c r="G76" i="1"/>
  <c r="G71" i="1" s="1"/>
  <c r="J76" i="1"/>
  <c r="E77" i="1"/>
  <c r="G77" i="1"/>
  <c r="G85" i="1" s="1"/>
  <c r="G82" i="1" s="1"/>
  <c r="I77" i="1"/>
  <c r="J77" i="1"/>
  <c r="E78" i="1"/>
  <c r="K78" i="1" s="1"/>
  <c r="G78" i="1"/>
  <c r="I78" i="1"/>
  <c r="J78" i="1"/>
  <c r="G79" i="1"/>
  <c r="I79" i="1"/>
  <c r="J79" i="1"/>
  <c r="E80" i="1"/>
  <c r="E79" i="1" s="1"/>
  <c r="K79" i="1" s="1"/>
  <c r="G80" i="1"/>
  <c r="J80" i="1"/>
  <c r="E81" i="1"/>
  <c r="K81" i="1" s="1"/>
  <c r="G81" i="1"/>
  <c r="J81" i="1"/>
  <c r="I82" i="1"/>
  <c r="J82" i="1"/>
  <c r="J83" i="1"/>
  <c r="K83" i="1"/>
  <c r="E84" i="1"/>
  <c r="K84" i="1" s="1"/>
  <c r="J84" i="1"/>
  <c r="E85" i="1"/>
  <c r="E82" i="1" s="1"/>
  <c r="J85" i="1"/>
  <c r="E86" i="1"/>
  <c r="J86" i="1"/>
  <c r="J87" i="1"/>
  <c r="K87" i="1"/>
  <c r="J88" i="1"/>
  <c r="K88" i="1"/>
  <c r="I89" i="1"/>
  <c r="I86" i="1" s="1"/>
  <c r="J89" i="1"/>
  <c r="J90" i="1"/>
  <c r="J91" i="1"/>
  <c r="K91" i="1"/>
  <c r="J92" i="1"/>
  <c r="K92" i="1"/>
  <c r="J93" i="1"/>
  <c r="K93" i="1"/>
  <c r="J94" i="1"/>
  <c r="K94" i="1"/>
  <c r="J95" i="1"/>
  <c r="K95" i="1"/>
  <c r="J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E106" i="1"/>
  <c r="G106" i="1"/>
  <c r="J106" i="1"/>
  <c r="J107" i="1"/>
  <c r="K107" i="1"/>
  <c r="J108" i="1"/>
  <c r="K108" i="1"/>
  <c r="J109" i="1"/>
  <c r="K109" i="1"/>
  <c r="J110" i="1"/>
  <c r="K110" i="1"/>
  <c r="E111" i="1"/>
  <c r="J111" i="1"/>
  <c r="G112" i="1"/>
  <c r="G105" i="1" s="1"/>
  <c r="G132" i="1" s="1"/>
  <c r="I112" i="1"/>
  <c r="J112" i="1"/>
  <c r="J113" i="1"/>
  <c r="K113" i="1"/>
  <c r="J114" i="1"/>
  <c r="K114" i="1"/>
  <c r="J115" i="1"/>
  <c r="K115" i="1"/>
  <c r="J116" i="1"/>
  <c r="K116" i="1"/>
  <c r="E117" i="1"/>
  <c r="K117" i="1" s="1"/>
  <c r="J117" i="1"/>
  <c r="J118" i="1"/>
  <c r="J119" i="1"/>
  <c r="K119" i="1"/>
  <c r="J120" i="1"/>
  <c r="K120" i="1"/>
  <c r="J121" i="1"/>
  <c r="K121" i="1"/>
  <c r="J122" i="1"/>
  <c r="K122" i="1"/>
  <c r="J123" i="1"/>
  <c r="K123" i="1"/>
  <c r="J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E133" i="1"/>
  <c r="J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J148" i="1"/>
  <c r="J149" i="1"/>
  <c r="K149" i="1"/>
  <c r="J150" i="1"/>
  <c r="K150" i="1"/>
  <c r="J151" i="1"/>
  <c r="K151" i="1"/>
  <c r="J152" i="1"/>
  <c r="K152" i="1"/>
  <c r="J153" i="1"/>
  <c r="K153" i="1"/>
  <c r="J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J163" i="1"/>
  <c r="J164" i="1"/>
  <c r="J165" i="1"/>
  <c r="K165" i="1"/>
  <c r="J166" i="1"/>
  <c r="K166" i="1"/>
  <c r="J167" i="1"/>
  <c r="K167" i="1"/>
  <c r="J169" i="1"/>
  <c r="J170" i="1"/>
  <c r="K170" i="1"/>
  <c r="J171" i="1"/>
  <c r="K171" i="1"/>
  <c r="J172" i="1"/>
  <c r="J174" i="1" s="1"/>
  <c r="J173" i="1"/>
  <c r="K173" i="1"/>
  <c r="F174" i="1"/>
  <c r="E176" i="1"/>
  <c r="J176" i="1"/>
  <c r="J177" i="1"/>
  <c r="K177" i="1"/>
  <c r="J178" i="1"/>
  <c r="K178" i="1"/>
  <c r="J179" i="1"/>
  <c r="K179" i="1"/>
  <c r="J180" i="1"/>
  <c r="K180" i="1"/>
  <c r="J181" i="1"/>
  <c r="K181" i="1"/>
  <c r="G182" i="1"/>
  <c r="G176" i="1" s="1"/>
  <c r="I182" i="1"/>
  <c r="J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E193" i="1"/>
  <c r="G193" i="1"/>
  <c r="J193" i="1"/>
  <c r="J194" i="1"/>
  <c r="J195" i="1"/>
  <c r="K195" i="1"/>
  <c r="G196" i="1"/>
  <c r="J196" i="1"/>
  <c r="J197" i="1"/>
  <c r="K197" i="1"/>
  <c r="J198" i="1"/>
  <c r="K198" i="1"/>
  <c r="E199" i="1"/>
  <c r="E196" i="1" s="1"/>
  <c r="J199" i="1"/>
  <c r="G200" i="1"/>
  <c r="J200" i="1"/>
  <c r="E201" i="1"/>
  <c r="G201" i="1"/>
  <c r="J201" i="1"/>
  <c r="J202" i="1"/>
  <c r="K202" i="1"/>
  <c r="G203" i="1"/>
  <c r="I203" i="1"/>
  <c r="J203" i="1"/>
  <c r="I204" i="1"/>
  <c r="J204" i="1"/>
  <c r="E205" i="1"/>
  <c r="J205" i="1"/>
  <c r="J206" i="1"/>
  <c r="K206" i="1"/>
  <c r="J207" i="1"/>
  <c r="K207" i="1"/>
  <c r="E208" i="1"/>
  <c r="J208" i="1"/>
  <c r="G209" i="1"/>
  <c r="I209" i="1"/>
  <c r="J209" i="1"/>
  <c r="K209" i="1"/>
  <c r="E210" i="1"/>
  <c r="I210" i="1"/>
  <c r="J210" i="1"/>
  <c r="G211" i="1"/>
  <c r="I211" i="1"/>
  <c r="K211" i="1" s="1"/>
  <c r="J211" i="1"/>
  <c r="J212" i="1"/>
  <c r="K212" i="1"/>
  <c r="J213" i="1"/>
  <c r="E214" i="1"/>
  <c r="I214" i="1"/>
  <c r="J215" i="1"/>
  <c r="K215" i="1"/>
  <c r="I216" i="1"/>
  <c r="F217" i="1"/>
  <c r="F216" i="1" s="1"/>
  <c r="G217" i="1"/>
  <c r="H217" i="1"/>
  <c r="H216" i="1" s="1"/>
  <c r="H214" i="1" s="1"/>
  <c r="I217" i="1"/>
  <c r="E218" i="1"/>
  <c r="G218" i="1"/>
  <c r="J218" i="1"/>
  <c r="K218" i="1"/>
  <c r="J219" i="1"/>
  <c r="K219" i="1"/>
  <c r="J220" i="1"/>
  <c r="K220" i="1"/>
  <c r="H221" i="1"/>
  <c r="E222" i="1"/>
  <c r="E221" i="1" s="1"/>
  <c r="F222" i="1"/>
  <c r="F221" i="1" s="1"/>
  <c r="J221" i="1" s="1"/>
  <c r="H222" i="1"/>
  <c r="J222" i="1"/>
  <c r="G223" i="1"/>
  <c r="G222" i="1" s="1"/>
  <c r="G221" i="1" s="1"/>
  <c r="I223" i="1"/>
  <c r="J223" i="1"/>
  <c r="G224" i="1"/>
  <c r="J224" i="1"/>
  <c r="G225" i="1"/>
  <c r="K225" i="1" s="1"/>
  <c r="I225" i="1"/>
  <c r="J225" i="1"/>
  <c r="G226" i="1"/>
  <c r="K226" i="1" s="1"/>
  <c r="I226" i="1"/>
  <c r="J226" i="1"/>
  <c r="G227" i="1"/>
  <c r="K227" i="1" s="1"/>
  <c r="I227" i="1"/>
  <c r="J227" i="1"/>
  <c r="G228" i="1"/>
  <c r="K228" i="1" s="1"/>
  <c r="I228" i="1"/>
  <c r="J228" i="1"/>
  <c r="J229" i="1"/>
  <c r="K229" i="1"/>
  <c r="J230" i="1"/>
  <c r="K230" i="1"/>
  <c r="J231" i="1"/>
  <c r="K231" i="1"/>
  <c r="J232" i="1"/>
  <c r="K232" i="1"/>
  <c r="E233" i="1"/>
  <c r="J233" i="1"/>
  <c r="G234" i="1"/>
  <c r="G233" i="1" s="1"/>
  <c r="I234" i="1"/>
  <c r="J234" i="1"/>
  <c r="J235" i="1"/>
  <c r="J236" i="1"/>
  <c r="K236" i="1"/>
  <c r="J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E246" i="1"/>
  <c r="G246" i="1"/>
  <c r="J246" i="1"/>
  <c r="E247" i="1"/>
  <c r="G247" i="1"/>
  <c r="J247" i="1"/>
  <c r="J248" i="1"/>
  <c r="K248" i="1"/>
  <c r="J249" i="1"/>
  <c r="J250" i="1"/>
  <c r="K250" i="1"/>
  <c r="J251" i="1"/>
  <c r="K251" i="1"/>
  <c r="J252" i="1"/>
  <c r="K252" i="1"/>
  <c r="E258" i="1"/>
  <c r="G258" i="1"/>
  <c r="K266" i="1"/>
  <c r="K267" i="1"/>
  <c r="K268" i="1"/>
  <c r="K269" i="1"/>
  <c r="K270" i="1"/>
  <c r="K271" i="1"/>
  <c r="K272" i="1"/>
  <c r="K273" i="1"/>
  <c r="K274" i="1"/>
  <c r="K275" i="1"/>
  <c r="E276" i="1"/>
  <c r="G276" i="1" s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E292" i="1"/>
  <c r="E265" i="1" s="1"/>
  <c r="K292" i="1"/>
  <c r="K293" i="1"/>
  <c r="K295" i="1"/>
  <c r="K296" i="1"/>
  <c r="K298" i="1"/>
  <c r="K299" i="1"/>
  <c r="K300" i="1"/>
  <c r="K301" i="1"/>
  <c r="G302" i="1"/>
  <c r="I200" i="1" s="1"/>
  <c r="K303" i="1"/>
  <c r="G304" i="1"/>
  <c r="K305" i="1"/>
  <c r="K306" i="1"/>
  <c r="K307" i="1"/>
  <c r="K308" i="1"/>
  <c r="K309" i="1"/>
  <c r="K310" i="1"/>
  <c r="K311" i="1"/>
  <c r="K312" i="1"/>
  <c r="K313" i="1"/>
  <c r="E314" i="1"/>
  <c r="E294" i="1" s="1"/>
  <c r="K315" i="1"/>
  <c r="M322" i="1"/>
  <c r="E351" i="1"/>
  <c r="G351" i="1"/>
  <c r="K351" i="1" s="1"/>
  <c r="J351" i="1"/>
  <c r="J352" i="1"/>
  <c r="K352" i="1"/>
  <c r="I353" i="1"/>
  <c r="J353" i="1"/>
  <c r="J354" i="1"/>
  <c r="K354" i="1"/>
  <c r="G355" i="1"/>
  <c r="J355" i="1"/>
  <c r="J356" i="1"/>
  <c r="K356" i="1"/>
  <c r="J357" i="1"/>
  <c r="K357" i="1"/>
  <c r="J358" i="1"/>
  <c r="K358" i="1"/>
  <c r="J359" i="1"/>
  <c r="K359" i="1"/>
  <c r="J360" i="1"/>
  <c r="K360" i="1"/>
  <c r="J361" i="1"/>
  <c r="G378" i="1"/>
  <c r="I302" i="1" l="1"/>
  <c r="K302" i="1" s="1"/>
  <c r="K200" i="1"/>
  <c r="E254" i="1"/>
  <c r="E255" i="1" s="1"/>
  <c r="G314" i="1"/>
  <c r="G381" i="1"/>
  <c r="G265" i="1"/>
  <c r="I276" i="1"/>
  <c r="G257" i="1"/>
  <c r="G259" i="1" s="1"/>
  <c r="F214" i="1"/>
  <c r="J214" i="1" s="1"/>
  <c r="J216" i="1"/>
  <c r="E213" i="1"/>
  <c r="K213" i="1" s="1"/>
  <c r="K82" i="1"/>
  <c r="K62" i="1"/>
  <c r="E53" i="1"/>
  <c r="G53" i="1"/>
  <c r="I53" i="1"/>
  <c r="K353" i="1"/>
  <c r="I355" i="1"/>
  <c r="K355" i="1" s="1"/>
  <c r="I201" i="1"/>
  <c r="K201" i="1" s="1"/>
  <c r="K71" i="1"/>
  <c r="K30" i="1"/>
  <c r="G204" i="1"/>
  <c r="K204" i="1" s="1"/>
  <c r="K234" i="1"/>
  <c r="J217" i="1"/>
  <c r="G210" i="1"/>
  <c r="K210" i="1" s="1"/>
  <c r="K203" i="1"/>
  <c r="E112" i="1"/>
  <c r="K112" i="1" s="1"/>
  <c r="K85" i="1"/>
  <c r="K77" i="1"/>
  <c r="I71" i="1"/>
  <c r="K36" i="1"/>
  <c r="K217" i="1"/>
  <c r="E257" i="1"/>
  <c r="E259" i="1" s="1"/>
  <c r="K223" i="1"/>
  <c r="G216" i="1"/>
  <c r="K216" i="1" s="1"/>
  <c r="G214" i="1"/>
  <c r="G254" i="1" s="1"/>
  <c r="G255" i="1" s="1"/>
  <c r="K182" i="1"/>
  <c r="K76" i="1"/>
  <c r="N47" i="1"/>
  <c r="N48" i="1" s="1"/>
  <c r="G199" i="1"/>
  <c r="G89" i="1"/>
  <c r="K80" i="1"/>
  <c r="I361" i="1" l="1"/>
  <c r="I96" i="1"/>
  <c r="I47" i="1"/>
  <c r="G86" i="1"/>
  <c r="K86" i="1" s="1"/>
  <c r="K89" i="1"/>
  <c r="E105" i="1"/>
  <c r="I304" i="1"/>
  <c r="K304" i="1" s="1"/>
  <c r="E194" i="1"/>
  <c r="G297" i="1"/>
  <c r="K214" i="1"/>
  <c r="E47" i="1"/>
  <c r="K53" i="1"/>
  <c r="K361" i="1" s="1"/>
  <c r="E96" i="1"/>
  <c r="E361" i="1"/>
  <c r="G96" i="1"/>
  <c r="G47" i="1"/>
  <c r="G361" i="1"/>
  <c r="I265" i="1"/>
  <c r="K276" i="1"/>
  <c r="K265" i="1" s="1"/>
  <c r="E90" i="1" l="1"/>
  <c r="K96" i="1"/>
  <c r="E124" i="1"/>
  <c r="I196" i="1"/>
  <c r="G294" i="1"/>
  <c r="E132" i="1"/>
  <c r="G90" i="1"/>
  <c r="G118" i="1" s="1"/>
  <c r="G124" i="1"/>
  <c r="G154" i="1" s="1"/>
  <c r="K47" i="1"/>
  <c r="L36" i="1"/>
  <c r="I124" i="1"/>
  <c r="I154" i="1" s="1"/>
  <c r="I90" i="1"/>
  <c r="I111" i="1"/>
  <c r="E322" i="1"/>
  <c r="E316" i="1" s="1"/>
  <c r="E253" i="1"/>
  <c r="E261" i="1" s="1"/>
  <c r="E263" i="1" s="1"/>
  <c r="G262" i="1" s="1"/>
  <c r="E162" i="1" l="1"/>
  <c r="I199" i="1"/>
  <c r="K196" i="1"/>
  <c r="I193" i="1"/>
  <c r="K111" i="1"/>
  <c r="I106" i="1"/>
  <c r="K124" i="1"/>
  <c r="E154" i="1"/>
  <c r="G147" i="1"/>
  <c r="G169" i="1"/>
  <c r="K90" i="1"/>
  <c r="E118" i="1"/>
  <c r="K199" i="1" l="1"/>
  <c r="I297" i="1"/>
  <c r="G133" i="1"/>
  <c r="G162" i="1"/>
  <c r="G148" i="1" s="1"/>
  <c r="G164" i="1" s="1"/>
  <c r="E169" i="1"/>
  <c r="E148" i="1"/>
  <c r="K154" i="1"/>
  <c r="K193" i="1"/>
  <c r="I176" i="1"/>
  <c r="K106" i="1"/>
  <c r="I105" i="1"/>
  <c r="I224" i="1"/>
  <c r="G208" i="1" l="1"/>
  <c r="K176" i="1"/>
  <c r="I222" i="1"/>
  <c r="K224" i="1"/>
  <c r="I132" i="1"/>
  <c r="K105" i="1"/>
  <c r="I118" i="1"/>
  <c r="K297" i="1"/>
  <c r="G163" i="1"/>
  <c r="I147" i="1" l="1"/>
  <c r="I169" i="1"/>
  <c r="K169" i="1" s="1"/>
  <c r="K118" i="1"/>
  <c r="I221" i="1"/>
  <c r="I314" i="1"/>
  <c r="K222" i="1"/>
  <c r="G205" i="1"/>
  <c r="I162" i="1"/>
  <c r="K132" i="1"/>
  <c r="G194" i="1" l="1"/>
  <c r="I148" i="1"/>
  <c r="K162" i="1"/>
  <c r="K314" i="1"/>
  <c r="K294" i="1" s="1"/>
  <c r="I294" i="1"/>
  <c r="I133" i="1"/>
  <c r="K147" i="1"/>
  <c r="K221" i="1"/>
  <c r="I254" i="1"/>
  <c r="I255" i="1" s="1"/>
  <c r="I208" i="1" l="1"/>
  <c r="K133" i="1"/>
  <c r="I164" i="1"/>
  <c r="K148" i="1"/>
  <c r="G322" i="1"/>
  <c r="G316" i="1" s="1"/>
  <c r="G253" i="1"/>
  <c r="G261" i="1" s="1"/>
  <c r="G263" i="1" s="1"/>
  <c r="I262" i="1" s="1"/>
  <c r="I163" i="1" l="1"/>
  <c r="K163" i="1" s="1"/>
  <c r="K164" i="1"/>
  <c r="I205" i="1"/>
  <c r="K208" i="1"/>
  <c r="I194" i="1" l="1"/>
  <c r="K205" i="1"/>
  <c r="I322" i="1" l="1"/>
  <c r="I316" i="1" s="1"/>
  <c r="I253" i="1"/>
  <c r="K194" i="1"/>
  <c r="K322" i="1" s="1"/>
  <c r="K316" i="1" s="1"/>
  <c r="I249" i="1" l="1"/>
  <c r="I237" i="1"/>
  <c r="I172" i="1" l="1"/>
  <c r="K237" i="1"/>
  <c r="I235" i="1"/>
  <c r="K249" i="1"/>
  <c r="I247" i="1"/>
  <c r="K235" i="1" l="1"/>
  <c r="I233" i="1"/>
  <c r="K247" i="1"/>
  <c r="I246" i="1"/>
  <c r="K246" i="1" s="1"/>
  <c r="I258" i="1"/>
  <c r="K172" i="1"/>
  <c r="K174" i="1" s="1"/>
  <c r="I174" i="1"/>
  <c r="I257" i="1" l="1"/>
  <c r="K233" i="1"/>
  <c r="I259" i="1" l="1"/>
  <c r="I261" i="1"/>
  <c r="I263" i="1" s="1"/>
</calcChain>
</file>

<file path=xl/sharedStrings.xml><?xml version="1.0" encoding="utf-8"?>
<sst xmlns="http://schemas.openxmlformats.org/spreadsheetml/2006/main" count="1170" uniqueCount="611">
  <si>
    <t>*****указывается суммарно стоимость оказанных субъекту электроэнергетики услуг.</t>
  </si>
  <si>
    <t>****указываются денежные средства в виде положительного сальдо от налога на добавленную стоимость к уплате и налога на добавленную стоимость к возврату,рассчитанные с учетом налогового вычета, в том числе связанного с капитальным вложениями</t>
  </si>
  <si>
    <t>***указывается на основании заключенных договоров на оказание услуг по передаче электричесой энергии</t>
  </si>
  <si>
    <t>**строка заполняется в объеме притока денежных средств от эмиссии акций. В случае оплаты эмиссии акций с использованием не денежных операций данная, строка не заполняется</t>
  </si>
  <si>
    <t>*в строках,содержащих слова "всего,в том числе" указывается сумма нижерасположенных строк соответствующего раздела (подраздела)</t>
  </si>
  <si>
    <t>Примечание:</t>
  </si>
  <si>
    <t>Х</t>
  </si>
  <si>
    <t>чел.</t>
  </si>
  <si>
    <t>Среднесписочная численность работников</t>
  </si>
  <si>
    <t>XXVIII</t>
  </si>
  <si>
    <t>млн. рублей</t>
  </si>
  <si>
    <t>в части обеспечения надежности</t>
  </si>
  <si>
    <t>27.3.2.</t>
  </si>
  <si>
    <t>в части управления технологическими режимами</t>
  </si>
  <si>
    <t>27.3.1.</t>
  </si>
  <si>
    <t>Собственная необходимая валовая выручка субъекта оперативно-диспетчерского управления, всего, в том числе</t>
  </si>
  <si>
    <t>27.3.</t>
  </si>
  <si>
    <t>млн. кВт.ч</t>
  </si>
  <si>
    <t>суммарный объем поставки электрической энергии на экспорт из России</t>
  </si>
  <si>
    <t>27.2.2.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</si>
  <si>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</si>
  <si>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27.2.1.</t>
  </si>
  <si>
    <t>Объем потребления в Единой энергетической системе России, в том числе</t>
  </si>
  <si>
    <t>27.2.</t>
  </si>
  <si>
    <t>МВт</t>
  </si>
  <si>
    <t>средняя мощность поставки электрической энергии по группам точек поставки импорта на оптовом рынке</t>
  </si>
  <si>
    <t>27.1.3.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</si>
  <si>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</si>
  <si>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27.1.2.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</si>
  <si>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</si>
  <si>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27.1.1.</t>
  </si>
  <si>
    <t>Установленная мощность в Единой энергетической системе России, в том числе</t>
  </si>
  <si>
    <t>27.1.</t>
  </si>
  <si>
    <t>X</t>
  </si>
  <si>
    <t>-</t>
  </si>
  <si>
    <t>В отношении деятельности по оперативно-диспетчерскому управлению</t>
  </si>
  <si>
    <t>XXVII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</si>
  <si>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</si>
  <si>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26.4.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</si>
  <si>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</si>
  <si>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26.3.</t>
  </si>
  <si>
    <t>Гкал/час</t>
  </si>
  <si>
    <t>Отпуск тепловой энергии потребителям</t>
  </si>
  <si>
    <t>26.2.</t>
  </si>
  <si>
    <t>Полезный отпуск электрической энергии потребителям</t>
  </si>
  <si>
    <t>26.1.</t>
  </si>
  <si>
    <t>В отношении сбытовой деятельности</t>
  </si>
  <si>
    <t>XXVI</t>
  </si>
  <si>
    <t>Необходимая валовая выручка сетевой организации в части содержания (строка 1.3 - строка 2.2.1 - строка 2.2.2 - строка 2.1.2.1.1)</t>
  </si>
  <si>
    <t>25.5.</t>
  </si>
  <si>
    <t>у.е.</t>
  </si>
  <si>
    <t>Количество условных единиц обслуживаемого электросетевого оборудования</t>
  </si>
  <si>
    <t>25.4.</t>
  </si>
  <si>
    <t>потребители, не являющиеся территориальными сетевыми организациями</t>
  </si>
  <si>
    <t>25.3.1.2</t>
  </si>
  <si>
    <t>территориальные сетевые организации</t>
  </si>
  <si>
    <t>25.3.1.1</t>
  </si>
  <si>
    <t>потребителей, присоединенных к единой (национальной) общероссийской электрической сети всего, в том числе:</t>
  </si>
  <si>
    <t>25.3.1.</t>
  </si>
  <si>
    <t>Заявленная мощность &lt;***&gt;/фактическая мощность всего, в том числе:</t>
  </si>
  <si>
    <t>25.3.</t>
  </si>
  <si>
    <t>Объем технологического расхода (потерь) при передаче электрической энергии</t>
  </si>
  <si>
    <t>25.2.</t>
  </si>
  <si>
    <t>25.1.1.2</t>
  </si>
  <si>
    <t xml:space="preserve">   территориальные сетевые организации</t>
  </si>
  <si>
    <t>25.1.1.1</t>
  </si>
  <si>
    <t>потребителям, присоединенным к единой (национальной) общероссийской электрической сети всего, в том числе:</t>
  </si>
  <si>
    <t>25.1.1.</t>
  </si>
  <si>
    <t>Объем отпуска электрической энергии из сети (полезный отпуск) всего, в том числе:</t>
  </si>
  <si>
    <t>25.1.</t>
  </si>
  <si>
    <t>В отношении деятельности по передаче электрической энергии</t>
  </si>
  <si>
    <t>XXV</t>
  </si>
  <si>
    <t>тыс. Гкал</t>
  </si>
  <si>
    <t>тепловой энергии</t>
  </si>
  <si>
    <t>24.9.3.</t>
  </si>
  <si>
    <t>электрической мощности</t>
  </si>
  <si>
    <t>24.9.2.</t>
  </si>
  <si>
    <t>электрической энергии</t>
  </si>
  <si>
    <t>24.9.1.</t>
  </si>
  <si>
    <t>Объем продукции, отпущенной (проданной) потребителям</t>
  </si>
  <si>
    <t>24.9.</t>
  </si>
  <si>
    <t>24.8.2.</t>
  </si>
  <si>
    <t>24.8.1.</t>
  </si>
  <si>
    <t>Объем покупной продукции на технологические цели</t>
  </si>
  <si>
    <t>24.8.</t>
  </si>
  <si>
    <t>24.7.3.</t>
  </si>
  <si>
    <t>24.7.2.</t>
  </si>
  <si>
    <t>24.7.1.</t>
  </si>
  <si>
    <t>Объем покупной продукции для последующей продажи</t>
  </si>
  <si>
    <t>24.7.</t>
  </si>
  <si>
    <t>24.6.2.</t>
  </si>
  <si>
    <t>24.6.1.</t>
  </si>
  <si>
    <t>Объем продукции, отпущенной с шин (коллекторов)</t>
  </si>
  <si>
    <t>24.6.</t>
  </si>
  <si>
    <t>Объем выработанной электрической энергии</t>
  </si>
  <si>
    <t>24.5.</t>
  </si>
  <si>
    <t>Присоединенная тепловая мощность</t>
  </si>
  <si>
    <t>24.4.</t>
  </si>
  <si>
    <t>Располагаемая электрическая мощность</t>
  </si>
  <si>
    <t>24.3.</t>
  </si>
  <si>
    <t>Установленная тепловая мощность</t>
  </si>
  <si>
    <t>24.2.</t>
  </si>
  <si>
    <t>Установленная электрическая мощность</t>
  </si>
  <si>
    <t>24.1.</t>
  </si>
  <si>
    <t>В отношении деятельности по производству электрической, тепловой энергии (мощности)</t>
  </si>
  <si>
    <t>XXIV</t>
  </si>
  <si>
    <t>ТЕХНИКО-ЭКОНОМИЧЕСКИЕ ПОКАЗАТЕЛИ</t>
  </si>
  <si>
    <t>%</t>
  </si>
  <si>
    <t>23.3.7.2</t>
  </si>
  <si>
    <t>23.3.7.1</t>
  </si>
  <si>
    <t>от оказания услуг по оперативно-диспетчерскому управлению в электроэнергетике всего, в том числе:</t>
  </si>
  <si>
    <t>23.3.7.</t>
  </si>
  <si>
    <t>от реализации тепловой энергии (мощности)</t>
  </si>
  <si>
    <t>23.3.6.</t>
  </si>
  <si>
    <t>от реализации электрической энергии и мощности</t>
  </si>
  <si>
    <t>23.3.5.</t>
  </si>
  <si>
    <t>от оказания услуг по передаче тепловой энергии, теплоносителя</t>
  </si>
  <si>
    <t>23.3.4.</t>
  </si>
  <si>
    <t>от оказания услуг по передаче электрической энергии</t>
  </si>
  <si>
    <t>23.3.3.</t>
  </si>
  <si>
    <t>от производства и поставки тепловой энергии (мощности)</t>
  </si>
  <si>
    <t>23.3.2.</t>
  </si>
  <si>
    <t>от производства и поставки электрической энергии (мощности) на розничных рынках электрической энергии</t>
  </si>
  <si>
    <t>23.3.1.3</t>
  </si>
  <si>
    <t>от производства и поставки электрической мощности на оптовом рынке электрической энергии и мощности</t>
  </si>
  <si>
    <t>23.3.1.2</t>
  </si>
  <si>
    <t>от производства и поставки электрической энергии на оптовом рынке электрической энергии и мощности</t>
  </si>
  <si>
    <t>23.3.1.1</t>
  </si>
  <si>
    <t>от производства и поставки электрической энергии и мощности</t>
  </si>
  <si>
    <t>23.3.1.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</si>
  <si>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</si>
  <si>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</t>
  </si>
  <si>
    <t>из нее просроченная</t>
  </si>
  <si>
    <t>23.2.9.а</t>
  </si>
  <si>
    <t>прочая кредиторская задолженность</t>
  </si>
  <si>
    <t>23.2.9.</t>
  </si>
  <si>
    <t>23.2.8.а</t>
  </si>
  <si>
    <t>по обязательствам перед поставщиками и подрядчиками по исполнению инвестиционной программы</t>
  </si>
  <si>
    <t>23.2.8.</t>
  </si>
  <si>
    <t>23.2.7.а</t>
  </si>
  <si>
    <t>по договорам технологического присоединения</t>
  </si>
  <si>
    <t>23.2.7.</t>
  </si>
  <si>
    <t>23.2.6.а</t>
  </si>
  <si>
    <t>перед бюджетами и внебюджетными фондами</t>
  </si>
  <si>
    <t>23.2.6.</t>
  </si>
  <si>
    <t>23.2.5.а</t>
  </si>
  <si>
    <t>перед персоналом по оплате труда</t>
  </si>
  <si>
    <t>23.2.5.</t>
  </si>
  <si>
    <t>23.2.4.а</t>
  </si>
  <si>
    <t>по оплате услуг территориальных сетевых организаций</t>
  </si>
  <si>
    <t>23.2.4.</t>
  </si>
  <si>
    <t>23.2.3.а</t>
  </si>
  <si>
    <t>по оплате услуг на передачу электрической энергии по единой (национальной) общероссийской электрической сети</t>
  </si>
  <si>
    <t>23.2.3.</t>
  </si>
  <si>
    <t>23.2.2.2.а</t>
  </si>
  <si>
    <t>на розничных рынках</t>
  </si>
  <si>
    <t>23.2.2.2</t>
  </si>
  <si>
    <t>23.2.2.1.а</t>
  </si>
  <si>
    <t>на оптовом рынке электрической энергии и мощности</t>
  </si>
  <si>
    <t>23.2.2.1</t>
  </si>
  <si>
    <t>поставщикам покупной энергии всего, в том числе:</t>
  </si>
  <si>
    <t>23.2.2.</t>
  </si>
  <si>
    <t>23.2.1.а</t>
  </si>
  <si>
    <t>поставщикам топлива на технологические цели</t>
  </si>
  <si>
    <t>23.2.1.</t>
  </si>
  <si>
    <t>Кредиторская задолженность на конец периода всего, в том числе:</t>
  </si>
  <si>
    <t>23.2.</t>
  </si>
  <si>
    <t>23.1.9.а</t>
  </si>
  <si>
    <t>прочая деятельность</t>
  </si>
  <si>
    <t>23.1.9.</t>
  </si>
  <si>
    <t>23.1.8.2.а</t>
  </si>
  <si>
    <t>23.1.8.2</t>
  </si>
  <si>
    <t>23.1.8.1.а</t>
  </si>
  <si>
    <t>23.1.8.1</t>
  </si>
  <si>
    <t>23.1.8.а</t>
  </si>
  <si>
    <t>оказание услуг по оперативно-диспетчерскому управлению в электроэнергетике всего, в том числе:</t>
  </si>
  <si>
    <t>23.1.8.</t>
  </si>
  <si>
    <t>23.1.7.а</t>
  </si>
  <si>
    <t>реализации тепловой энергии (мощности)</t>
  </si>
  <si>
    <t>23.1.7.</t>
  </si>
  <si>
    <t xml:space="preserve">  из нее просроченная</t>
  </si>
  <si>
    <t>23.1.6.а</t>
  </si>
  <si>
    <t>реализация электрической энергии и мощности</t>
  </si>
  <si>
    <t>23.1.5.а</t>
  </si>
  <si>
    <t>оказание услуг по технологическому присоединению</t>
  </si>
  <si>
    <t>23.1.5.</t>
  </si>
  <si>
    <t>23.1.4.а</t>
  </si>
  <si>
    <t>оказание услуг по передаче тепловой энергии, теплоносителя</t>
  </si>
  <si>
    <t>23.1.4.</t>
  </si>
  <si>
    <t>23.1.3.а</t>
  </si>
  <si>
    <t>оказание услуг по передаче электрической энергии</t>
  </si>
  <si>
    <t>23.1.3.</t>
  </si>
  <si>
    <t>23.1.2.а</t>
  </si>
  <si>
    <t>производство и поставка тепловой энергии (мощности)</t>
  </si>
  <si>
    <t>23.1.2.</t>
  </si>
  <si>
    <t>23.1.1.3.а</t>
  </si>
  <si>
    <t>производство и поставка электрической энергии (мощности) на розничных рынках электрической энергии</t>
  </si>
  <si>
    <t>23.1.1.3</t>
  </si>
  <si>
    <t>23.1.1.2.а</t>
  </si>
  <si>
    <t>производство и поставка электрической мощности на оптовом рынке электрической энергии и мощности</t>
  </si>
  <si>
    <t>23.1.1.2</t>
  </si>
  <si>
    <t>23.1.1.1.а</t>
  </si>
  <si>
    <t>производство и поставка электрической энергии на оптовом рынке электрической энергии и мощности</t>
  </si>
  <si>
    <t>23.1.1.1</t>
  </si>
  <si>
    <t>23.1.1.а</t>
  </si>
  <si>
    <t>производство и поставка электрической энергии и мощности всего, в том числе:</t>
  </si>
  <si>
    <t>23.1.1.</t>
  </si>
  <si>
    <t>Дебиторская задолженность на конец периода всего, в том числе:</t>
  </si>
  <si>
    <t>23.1.</t>
  </si>
  <si>
    <t>Иные сведения:</t>
  </si>
  <si>
    <t>XXIII</t>
  </si>
  <si>
    <t>Остаток денежных средств на конец периода</t>
  </si>
  <si>
    <t>XXII</t>
  </si>
  <si>
    <t>Остаток денежных средств на начало периода</t>
  </si>
  <si>
    <t>XXI</t>
  </si>
  <si>
    <t>Итого сальдо денежных средств (строка XVI + строка XVII + строка XVIII + строка XIX)</t>
  </si>
  <si>
    <t>XX</t>
  </si>
  <si>
    <t>Сальдо денежных средств от транзитных операций</t>
  </si>
  <si>
    <t>XIX</t>
  </si>
  <si>
    <t>Сальдо денежных средств по прочей финансовой деятельности</t>
  </si>
  <si>
    <t>18.2.</t>
  </si>
  <si>
    <t>Сальдо денежных средств по привлечению и погашению кредитов и займов</t>
  </si>
  <si>
    <t>18.1.</t>
  </si>
  <si>
    <t>Сальдо денежных средств по финансовым операциям всего (строка XIV - строка XV), в том числе</t>
  </si>
  <si>
    <t>XVIII</t>
  </si>
  <si>
    <t>Сальдо денежных средств по прочей деятельности</t>
  </si>
  <si>
    <t>17.2.</t>
  </si>
  <si>
    <t>Сальдо денежных средств по инвестиционным операциям</t>
  </si>
  <si>
    <t>17.1.</t>
  </si>
  <si>
    <t>Сальдо денежных средств по инвестиционным операциям всего (строка XII - строка XIII), всего в том числе</t>
  </si>
  <si>
    <t>XVII</t>
  </si>
  <si>
    <t>Сальдо денежных средств по операционной деятельности (строка X - строка XI) всего, в том числе:</t>
  </si>
  <si>
    <t>XVI</t>
  </si>
  <si>
    <t>Прочие выплаты по финансовым операциям</t>
  </si>
  <si>
    <t>15.3.</t>
  </si>
  <si>
    <t>Выплата дивидендов</t>
  </si>
  <si>
    <t>15.2.</t>
  </si>
  <si>
    <t>на рефинансирование кредитов и займов</t>
  </si>
  <si>
    <t>15.1.3.</t>
  </si>
  <si>
    <t>на инвестиционные операции</t>
  </si>
  <si>
    <t>15.1.2.</t>
  </si>
  <si>
    <t>на текущую деятельность</t>
  </si>
  <si>
    <t>15.1.1.</t>
  </si>
  <si>
    <t>Погашение кредитов и займов всего всего, в том числе:</t>
  </si>
  <si>
    <t>15.1.</t>
  </si>
  <si>
    <t>Платежи по финансовым операциям всего, в том числе:</t>
  </si>
  <si>
    <t>XV</t>
  </si>
  <si>
    <t>Прочие поступления по финансовым операциям</t>
  </si>
  <si>
    <t>14.7.</t>
  </si>
  <si>
    <t>Поступления за счет средств инвесторов</t>
  </si>
  <si>
    <t>14.6.</t>
  </si>
  <si>
    <t>Поступления от займов организаций</t>
  </si>
  <si>
    <t>14.5.</t>
  </si>
  <si>
    <t>вексели</t>
  </si>
  <si>
    <t>14.4.2.</t>
  </si>
  <si>
    <t>облигационные займы</t>
  </si>
  <si>
    <t>14.4.1.</t>
  </si>
  <si>
    <t>Поступления от реализации финансовых инструментов всего, в том числе:</t>
  </si>
  <si>
    <t>14.4.</t>
  </si>
  <si>
    <t>Поступления от эмиссии акций &lt;**&gt;</t>
  </si>
  <si>
    <t>14.3.</t>
  </si>
  <si>
    <t>14.2.3.</t>
  </si>
  <si>
    <t>14.2.2.</t>
  </si>
  <si>
    <t>14.2.1.</t>
  </si>
  <si>
    <t>Поступления по полученным кредитам всего, в том числе:</t>
  </si>
  <si>
    <t>14.2.</t>
  </si>
  <si>
    <t>Процентные поступления</t>
  </si>
  <si>
    <t>14.1.</t>
  </si>
  <si>
    <t>Поступления от финансовых операций всего, в том числе:</t>
  </si>
  <si>
    <t>XIV</t>
  </si>
  <si>
    <t>проценты по долговым обязательствам, включаемым в стоимость инвестиционного актива</t>
  </si>
  <si>
    <t>13.4.1.</t>
  </si>
  <si>
    <t>13.4.</t>
  </si>
  <si>
    <t>Прочие платежи по инвестиционным операциям всего, в том числе:</t>
  </si>
  <si>
    <t>13.3.</t>
  </si>
  <si>
    <t>Приобретение нематериальных активов</t>
  </si>
  <si>
    <t>13.2.</t>
  </si>
  <si>
    <t>прочие выплаты, связанные с инвестициями в основной капитал</t>
  </si>
  <si>
    <t>13.1.6.</t>
  </si>
  <si>
    <t>проведение научно-исследовательских и опытно-конструкторских разработок</t>
  </si>
  <si>
    <t>13.1.5.</t>
  </si>
  <si>
    <t>приобретение объектов основных средств, земельных участков</t>
  </si>
  <si>
    <t>13.1.4.</t>
  </si>
  <si>
    <t>проектно-изыскательные работы для объектов нового строительства будущих лет</t>
  </si>
  <si>
    <t>13.1.3.</t>
  </si>
  <si>
    <t>новое строительство и расширение</t>
  </si>
  <si>
    <t>13.1.2.</t>
  </si>
  <si>
    <t>техническое перевооружение и реконструкция</t>
  </si>
  <si>
    <t>13.1.1.</t>
  </si>
  <si>
    <t>Инвестиции в основной капитал всего, в том числе:</t>
  </si>
  <si>
    <t>13.1.</t>
  </si>
  <si>
    <t>Платежи по инвестиционным операциям всего, в том числе:</t>
  </si>
  <si>
    <t>XIII</t>
  </si>
  <si>
    <t>Прочие поступления по инвестиционным операциям</t>
  </si>
  <si>
    <t>12.3.</t>
  </si>
  <si>
    <t>средства консолидированного бюджета субъекта Российской Федерации</t>
  </si>
  <si>
    <t>12.2.1.2</t>
  </si>
  <si>
    <t>средства федерального бюджета</t>
  </si>
  <si>
    <t>12.2.1.1</t>
  </si>
  <si>
    <t>по использованию средств бюджетов бюджетной системы Российской Федерации всего, в том числе:</t>
  </si>
  <si>
    <t>12.2.1.</t>
  </si>
  <si>
    <t>Поступления по заключенным инвестиционным соглашениям, в том числе</t>
  </si>
  <si>
    <t>12.2.</t>
  </si>
  <si>
    <t>Поступления от реализации имущества и имущественных прав</t>
  </si>
  <si>
    <t>12.1.</t>
  </si>
  <si>
    <t>Поступления от инвестиционных операций всего, в том числе:</t>
  </si>
  <si>
    <t>XII</t>
  </si>
  <si>
    <t>Прочие платежи по текущей деятельности</t>
  </si>
  <si>
    <t>11.13.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</si>
  <si>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</si>
  <si>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11.12.</t>
  </si>
  <si>
    <t>Арендная плата и лизинговые платежи</t>
  </si>
  <si>
    <t>11.11.</t>
  </si>
  <si>
    <t>Оплата прочих услуг производственного характера</t>
  </si>
  <si>
    <t>11.10.</t>
  </si>
  <si>
    <t>Оплата сырья, материалов, запасных частей, инструментов</t>
  </si>
  <si>
    <t>11.9.</t>
  </si>
  <si>
    <t>прочие налоги и сборы</t>
  </si>
  <si>
    <t>11.8.3.</t>
  </si>
  <si>
    <t>налог на имущество организации</t>
  </si>
  <si>
    <t>11.8.2.</t>
  </si>
  <si>
    <t>налог на прибыль</t>
  </si>
  <si>
    <t>11.8.1.</t>
  </si>
  <si>
    <t>Оплата налогов и сборов всего, в том числе:</t>
  </si>
  <si>
    <t>11.8.</t>
  </si>
  <si>
    <t>Страховые взносы</t>
  </si>
  <si>
    <t>11.7.</t>
  </si>
  <si>
    <t>Оплата труда</t>
  </si>
  <si>
    <t>11.6.</t>
  </si>
  <si>
    <t>Оплата услуг по передаче тепловой энергии, теплоносителя</t>
  </si>
  <si>
    <t>11.5.</t>
  </si>
  <si>
    <t>Оплата услуг по передаче электрической энергии по сетям территориальных сетевых организаций</t>
  </si>
  <si>
    <t>11.4.</t>
  </si>
  <si>
    <t>Оплата услуг по передаче электрической энергии по единой (национальной) общероссийской электрической сети</t>
  </si>
  <si>
    <t>11.3.</t>
  </si>
  <si>
    <t>на компенсацию потерь</t>
  </si>
  <si>
    <t>11.2.3.</t>
  </si>
  <si>
    <t>на розничных рынках электрической энергии</t>
  </si>
  <si>
    <t>11.2.2.</t>
  </si>
  <si>
    <t>11.2.1.</t>
  </si>
  <si>
    <t>Оплата покупной энергии всего, в том числе:</t>
  </si>
  <si>
    <t>11.2.</t>
  </si>
  <si>
    <t>Оплата поставщикам топлива</t>
  </si>
  <si>
    <t>11.1.</t>
  </si>
  <si>
    <t>Платежи по текущим операциям всего, в том числе:</t>
  </si>
  <si>
    <t>XI</t>
  </si>
  <si>
    <t>Прочая деятельность</t>
  </si>
  <si>
    <t>10.10.</t>
  </si>
  <si>
    <t>за счет средств консолидированного бюджета субъекта Российской Федерации</t>
  </si>
  <si>
    <t>10.9.2.</t>
  </si>
  <si>
    <t>за счет средств федерального бюджета</t>
  </si>
  <si>
    <t>10.9.1.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</si>
  <si>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</si>
  <si>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</t>
  </si>
  <si>
    <t>10.8.2.</t>
  </si>
  <si>
    <t>10.8.1.</t>
  </si>
  <si>
    <t>Оказание услуг по оперативно-диспетчерскому управлению в электроэнергетике всего, в том числе:</t>
  </si>
  <si>
    <t>10.8.</t>
  </si>
  <si>
    <t>Реализации тепловой энергии (мощности)</t>
  </si>
  <si>
    <t>10.7.</t>
  </si>
  <si>
    <t>Реализация электрической энергии и мощности</t>
  </si>
  <si>
    <t>10.6.</t>
  </si>
  <si>
    <t>Оказание услуг по технологическому присоединению</t>
  </si>
  <si>
    <t>10.5.</t>
  </si>
  <si>
    <t>Оказание услуг по передаче тепловой энергии, теплоносителя</t>
  </si>
  <si>
    <t>10.4.</t>
  </si>
  <si>
    <t>Оказание услуг по передаче электрической энергии</t>
  </si>
  <si>
    <t>10.3.</t>
  </si>
  <si>
    <t>Производство и поставка тепловой энергии (мощности)</t>
  </si>
  <si>
    <t>10.2.</t>
  </si>
  <si>
    <t>10.1.3.</t>
  </si>
  <si>
    <t>10.1.2.</t>
  </si>
  <si>
    <t>10.1.1.</t>
  </si>
  <si>
    <t>Производство и поставка электрической энергии и мощности всего, в том числе:</t>
  </si>
  <si>
    <t>10.1.</t>
  </si>
  <si>
    <t>Поступления от текущих операций всего, в том числе:</t>
  </si>
  <si>
    <t>БЮДЖЕТ ДВИЖЕНИЯ ДЕНЕЖНЫХ СРЕДСТВ</t>
  </si>
  <si>
    <t xml:space="preserve"> 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</si>
  <si>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9.4.</t>
  </si>
  <si>
    <t>краткосрочные кредиты и займы на конец периода</t>
  </si>
  <si>
    <t>9.3.1.</t>
  </si>
  <si>
    <t xml:space="preserve"> Долг (кредиты и займы) на конец периода, в том числе</t>
  </si>
  <si>
    <t>9.3.</t>
  </si>
  <si>
    <t>краткосрочные кредиты и займы на начало периода</t>
  </si>
  <si>
    <t>9.2.1.</t>
  </si>
  <si>
    <t xml:space="preserve"> Долг (кредиты и займы) на начало периода всего, в том числе:</t>
  </si>
  <si>
    <t>9.2.</t>
  </si>
  <si>
    <t>Прибыль до налогообложения без учета процентов к уплате и амортизации (строка V + строка 4.2.2 + строка II.IV)</t>
  </si>
  <si>
    <t>9.1.</t>
  </si>
  <si>
    <t>IX</t>
  </si>
  <si>
    <t>Остаток на развитие</t>
  </si>
  <si>
    <t>8.4.</t>
  </si>
  <si>
    <t>8.3.</t>
  </si>
  <si>
    <t>Резервный фонд</t>
  </si>
  <si>
    <t>8.2.</t>
  </si>
  <si>
    <t>На инвестиции</t>
  </si>
  <si>
    <t>8.1.</t>
  </si>
  <si>
    <t>Направления использования чистой прибыли</t>
  </si>
  <si>
    <t>VIII</t>
  </si>
  <si>
    <t>7.9.</t>
  </si>
  <si>
    <t>7.8.2.</t>
  </si>
  <si>
    <t>7.8.1.</t>
  </si>
  <si>
    <t>7.8.</t>
  </si>
  <si>
    <t>7.7.</t>
  </si>
  <si>
    <t>7.6.</t>
  </si>
  <si>
    <t>7.5.</t>
  </si>
  <si>
    <t>7.4.</t>
  </si>
  <si>
    <t>7.3.</t>
  </si>
  <si>
    <t>7.2.</t>
  </si>
  <si>
    <t>7.1.3.</t>
  </si>
  <si>
    <t>7.1.2.</t>
  </si>
  <si>
    <t>7.1.1.</t>
  </si>
  <si>
    <t>7.1.</t>
  </si>
  <si>
    <t>Чистая прибыль (убыток) всего, в том числе:</t>
  </si>
  <si>
    <t>VII</t>
  </si>
  <si>
    <t>Прочая деятельность;</t>
  </si>
  <si>
    <t>6.9.</t>
  </si>
  <si>
    <t>6.8.2.</t>
  </si>
  <si>
    <t>6.8.1.</t>
  </si>
  <si>
    <t>6.8.</t>
  </si>
  <si>
    <t>6.7.</t>
  </si>
  <si>
    <t>Реализация электрической энергии и мощности;</t>
  </si>
  <si>
    <t>6.6.</t>
  </si>
  <si>
    <t>Оказание услуг по технологическому присоединению;</t>
  </si>
  <si>
    <t>6.5.</t>
  </si>
  <si>
    <t>Оказание услуг по передаче тепловой энергии, теплоносителя;</t>
  </si>
  <si>
    <t>6.4.</t>
  </si>
  <si>
    <t>Оказание услуг по передаче электрической энергии;</t>
  </si>
  <si>
    <t>6.3.</t>
  </si>
  <si>
    <t>Производство и поставка тепловой энергии (мощности);</t>
  </si>
  <si>
    <t>6.2.</t>
  </si>
  <si>
    <t>6.1.3.</t>
  </si>
  <si>
    <t>6.1.2.</t>
  </si>
  <si>
    <t>6.1.1.</t>
  </si>
  <si>
    <t>6.1.</t>
  </si>
  <si>
    <t>Налог на прибыль всего, в том числе:</t>
  </si>
  <si>
    <t>VI</t>
  </si>
  <si>
    <t>5.9.</t>
  </si>
  <si>
    <t>5.8.2.</t>
  </si>
  <si>
    <t>5.8.1.</t>
  </si>
  <si>
    <t>5.8.</t>
  </si>
  <si>
    <t>5.7.</t>
  </si>
  <si>
    <t>5.6.</t>
  </si>
  <si>
    <t>5.5.</t>
  </si>
  <si>
    <t>5.4.</t>
  </si>
  <si>
    <t>5.3.</t>
  </si>
  <si>
    <t>5.2.</t>
  </si>
  <si>
    <t>5.1.3.</t>
  </si>
  <si>
    <t>5.1.2.</t>
  </si>
  <si>
    <t>5.1.1.</t>
  </si>
  <si>
    <t>Производство и поставка электрической энергии на оптовом рынке электрической энергии и мощности</t>
  </si>
  <si>
    <t>5.1.</t>
  </si>
  <si>
    <t>Прибыль (убыток) до налогообложения (строка III + строка IV) всего, в том числе:</t>
  </si>
  <si>
    <t>V</t>
  </si>
  <si>
    <t>прочие внереализационные расходы</t>
  </si>
  <si>
    <t>4.2.4.</t>
  </si>
  <si>
    <t>по сомнительным долгам</t>
  </si>
  <si>
    <t>4.2.3.1.</t>
  </si>
  <si>
    <t>создание резервов всего, в том числе:</t>
  </si>
  <si>
    <t>4.2.3.</t>
  </si>
  <si>
    <t>проценты к уплате</t>
  </si>
  <si>
    <t>4.2.2.</t>
  </si>
  <si>
    <t>расходы, связанные с персоналом</t>
  </si>
  <si>
    <t>4.2.1.</t>
  </si>
  <si>
    <t>Прочие расходы всего, в том числе:</t>
  </si>
  <si>
    <t>4.2.</t>
  </si>
  <si>
    <t>прочие внереализационные доходы</t>
  </si>
  <si>
    <t>4.1.4.</t>
  </si>
  <si>
    <t>4.1.3.1.</t>
  </si>
  <si>
    <t>восстановление резервов всего, в том числе:</t>
  </si>
  <si>
    <t>4.1.3.</t>
  </si>
  <si>
    <t>проценты к получению</t>
  </si>
  <si>
    <t>4.1.2.</t>
  </si>
  <si>
    <t>доходы от участия в других организациях</t>
  </si>
  <si>
    <t>4.1.1.</t>
  </si>
  <si>
    <t>Прочие доходы всего, в том числе:</t>
  </si>
  <si>
    <t>4.1.</t>
  </si>
  <si>
    <t>Прочие доходы и расходы (сальдо) (строка 4.1 - строка 4.2)</t>
  </si>
  <si>
    <t>IV</t>
  </si>
  <si>
    <t>3.9.</t>
  </si>
  <si>
    <t>3.8.2.</t>
  </si>
  <si>
    <t>3.8.1.</t>
  </si>
  <si>
    <t>3.8.</t>
  </si>
  <si>
    <t>Реализация инвестиционной программы</t>
  </si>
  <si>
    <t>3.7.</t>
  </si>
  <si>
    <t>3.6.</t>
  </si>
  <si>
    <t>3.5.</t>
  </si>
  <si>
    <t>3.4.</t>
  </si>
  <si>
    <t>3.3.</t>
  </si>
  <si>
    <t>3.2.</t>
  </si>
  <si>
    <t>3.1.3.</t>
  </si>
  <si>
    <t>3.1.2.</t>
  </si>
  <si>
    <t>3.1.1.</t>
  </si>
  <si>
    <t>3.1.</t>
  </si>
  <si>
    <t>Прибыль (убыток) от продаж (строка I - строка II) всего, в том числе:</t>
  </si>
  <si>
    <t>III</t>
  </si>
  <si>
    <t>Управленческие расходы</t>
  </si>
  <si>
    <t>2.7.3.</t>
  </si>
  <si>
    <t>Коммерческие расходы</t>
  </si>
  <si>
    <t>2.7.2.</t>
  </si>
  <si>
    <t>Расходы на ремонт</t>
  </si>
  <si>
    <t>2.7.1.</t>
  </si>
  <si>
    <t>II.VII</t>
  </si>
  <si>
    <t>иные прочие расходы</t>
  </si>
  <si>
    <t>2.6.3.</t>
  </si>
  <si>
    <t>арендная плата, лизинговые платежи</t>
  </si>
  <si>
    <t>2.6.2.</t>
  </si>
  <si>
    <t>работы и услуги непроизводственного характера</t>
  </si>
  <si>
    <t>2.6.1.</t>
  </si>
  <si>
    <t>II.VI</t>
  </si>
  <si>
    <t>2.5.2.</t>
  </si>
  <si>
    <t>2.5.1.</t>
  </si>
  <si>
    <t>Налоги и сборы всего, в том числе:</t>
  </si>
  <si>
    <t>II.V</t>
  </si>
  <si>
    <t>Амортизация основных средств и нематериальных активов</t>
  </si>
  <si>
    <t>II.IV</t>
  </si>
  <si>
    <t>Расходы на оплату труда с учетом страховых взносов</t>
  </si>
  <si>
    <t>II.III</t>
  </si>
  <si>
    <t>прочие услуги производственного характера</t>
  </si>
  <si>
    <t>2.2.5.</t>
  </si>
  <si>
    <t>услуги инфраструктурных организаций *****</t>
  </si>
  <si>
    <t>2.2.4.</t>
  </si>
  <si>
    <t>услуги по передаче тепловой энергии, теплоносителя</t>
  </si>
  <si>
    <t>2.2.3.</t>
  </si>
  <si>
    <t>услуги по передаче электрической энергии по сетям территориальной сетевой организации</t>
  </si>
  <si>
    <t>2.2.2.</t>
  </si>
  <si>
    <t>услуги по передаче электрической энергии по единой (национальной) общероссийской электрической сети</t>
  </si>
  <si>
    <t>2.2.1.</t>
  </si>
  <si>
    <t>Работы и услуги производственного характера всего, в том числе:</t>
  </si>
  <si>
    <t>II.II</t>
  </si>
  <si>
    <t>прочие материальные расходы</t>
  </si>
  <si>
    <t>2.1.4.</t>
  </si>
  <si>
    <t>сырье, материалы, запасные части, инструменты</t>
  </si>
  <si>
    <t>2.1.3.</t>
  </si>
  <si>
    <t>покупная тепловая энергия (мощность)</t>
  </si>
  <si>
    <t>2.1.2.2.</t>
  </si>
  <si>
    <t>для последующей перепродажи</t>
  </si>
  <si>
    <t>2.1.2.1.2.</t>
  </si>
  <si>
    <t>на технологические цели, включая энергию на компенсацию потерь при ее передаче</t>
  </si>
  <si>
    <t>2.1.2.1.1.</t>
  </si>
  <si>
    <t>покупная электрическая энергия (мощность) всего, в том числе:</t>
  </si>
  <si>
    <t>2.1.2.1.</t>
  </si>
  <si>
    <t>покупная энергия, в том числе:</t>
  </si>
  <si>
    <t>2.1.2.</t>
  </si>
  <si>
    <t>расходы на топливо на технологические цели</t>
  </si>
  <si>
    <t>2.1.1.</t>
  </si>
  <si>
    <t>Материальные расходы всего, в том числе:</t>
  </si>
  <si>
    <t>II.I</t>
  </si>
  <si>
    <t>2.9.</t>
  </si>
  <si>
    <t>2.8.2.</t>
  </si>
  <si>
    <t>2.8.1.</t>
  </si>
  <si>
    <t>2.8.</t>
  </si>
  <si>
    <t>2.7.</t>
  </si>
  <si>
    <t>2.6.</t>
  </si>
  <si>
    <t>2.5.</t>
  </si>
  <si>
    <t>2.4.</t>
  </si>
  <si>
    <t>2.3.</t>
  </si>
  <si>
    <t>2.2.</t>
  </si>
  <si>
    <t>2.1.</t>
  </si>
  <si>
    <t>Себестоимость товаров (работ, услуг), коммерческие и управленческие расходы всего, в том числе:</t>
  </si>
  <si>
    <t>II</t>
  </si>
  <si>
    <t>1.9.</t>
  </si>
  <si>
    <t>1.8.2.</t>
  </si>
  <si>
    <t>1.8.1.</t>
  </si>
  <si>
    <t>1.8.</t>
  </si>
  <si>
    <t>1.7.</t>
  </si>
  <si>
    <t>1.6.</t>
  </si>
  <si>
    <t>средства, полученные от оказания услуг, реализации товаров по регулируемым государствам ценам (тарифам)</t>
  </si>
  <si>
    <t>1.5.2.</t>
  </si>
  <si>
    <t>плата за технологическое присоединение</t>
  </si>
  <si>
    <t>1.5.1.</t>
  </si>
  <si>
    <t>1.5.</t>
  </si>
  <si>
    <t>1.4.</t>
  </si>
  <si>
    <t>1.3.</t>
  </si>
  <si>
    <t>1.2.</t>
  </si>
  <si>
    <t>1.1.3.</t>
  </si>
  <si>
    <t>1.1.2.</t>
  </si>
  <si>
    <t>1.1.1.</t>
  </si>
  <si>
    <t>1.1.</t>
  </si>
  <si>
    <t>Выручка от реализации товаров (работ, услуг) всего, в том числе*:</t>
  </si>
  <si>
    <t>I</t>
  </si>
  <si>
    <t>БЮДЖЕТ ДОХОДОВ И РАСХОДОВ</t>
  </si>
  <si>
    <t>11</t>
  </si>
  <si>
    <t>10</t>
  </si>
  <si>
    <t>9</t>
  </si>
  <si>
    <t>8</t>
  </si>
  <si>
    <t>7</t>
  </si>
  <si>
    <t>6</t>
  </si>
  <si>
    <t>5</t>
  </si>
  <si>
    <t>итого за период реализации инвестиционной программы (предложения по корректировке утвержденного плана)</t>
  </si>
  <si>
    <t>итого за период реализации инвестиционной программы (утвержденный план)</t>
  </si>
  <si>
    <t>2022
план
(предложения по корректировке утвержденного плана)</t>
  </si>
  <si>
    <t>2022
план
(утвержденный план)</t>
  </si>
  <si>
    <t>2021
(предложения по корректировке утвержденного плана)</t>
  </si>
  <si>
    <t>2021
план
(утвержденный план)</t>
  </si>
  <si>
    <t>2020
факт</t>
  </si>
  <si>
    <t>2020
план (утвержденный план)</t>
  </si>
  <si>
    <t>Ед. изм.</t>
  </si>
  <si>
    <t>Показатель</t>
  </si>
  <si>
    <t>№ п/п</t>
  </si>
  <si>
    <t>млн.руб.</t>
  </si>
  <si>
    <t xml:space="preserve">              1. Финансово-экономическая модель деятельности субъекта электроэнергетики</t>
  </si>
  <si>
    <t xml:space="preserve">                      </t>
  </si>
  <si>
    <t xml:space="preserve">    реквизиты    решения   органа   исполнительной   власти,   утвердившего инвестиционную программу</t>
  </si>
  <si>
    <t>Приказ Министерства топлива и энергетики Республики Крым от 16.12.2020 №540-ОД</t>
  </si>
  <si>
    <t xml:space="preserve">Утвержденные плановые значения показателей приведены в соответствии с  </t>
  </si>
  <si>
    <t>Год раскрытия (предоставления) информации: 2021</t>
  </si>
  <si>
    <t>Субъект Российской Федерации:   Республика Крым</t>
  </si>
  <si>
    <t>полное наименование субъекта электроэнергетики</t>
  </si>
  <si>
    <t xml:space="preserve"> Инвестиционная программа Акционерного общества "Крымэнерго"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</si>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</sst>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Arial Unicode MS"/>
      <family val="2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0" applyBorder="0">
      <alignment vertical="top"/>
    </xf>
  </cellStyleXfs>
  <cellXfs count="132">
    <xf numFmtId="0" fontId="0" fillId="0" borderId="0" xfId="0"/>
    <xf numFmtId="49" fontId="1" fillId="0" borderId="0" xfId="1" applyFont="1" applyAlignment="1"/>
    <xf numFmtId="49" fontId="1" fillId="0" borderId="0" xfId="1" applyFont="1" applyAlignment="1">
      <alignment horizontal="center" vertical="center"/>
    </xf>
    <xf numFmtId="49" fontId="1" fillId="0" borderId="0" xfId="1" applyFont="1" applyBorder="1" applyAlignment="1"/>
    <xf numFmtId="16" fontId="2" fillId="0" borderId="0" xfId="1" applyNumberFormat="1" applyFont="1" applyBorder="1" applyAlignment="1">
      <alignment horizontal="center" vertical="center" wrapText="1"/>
    </xf>
    <xf numFmtId="16" fontId="3" fillId="0" borderId="0" xfId="1" applyNumberFormat="1" applyFont="1" applyBorder="1" applyAlignment="1">
      <alignment horizontal="center" vertical="center" wrapText="1"/>
    </xf>
    <xf numFmtId="49" fontId="4" fillId="0" borderId="0" xfId="1" applyFont="1" applyBorder="1" applyAlignment="1"/>
    <xf numFmtId="49" fontId="4" fillId="0" borderId="0" xfId="1" applyFont="1" applyAlignment="1">
      <alignment horizontal="center" vertical="center"/>
    </xf>
    <xf numFmtId="49" fontId="4" fillId="0" borderId="0" xfId="1" applyFont="1" applyAlignment="1"/>
    <xf numFmtId="0" fontId="5" fillId="0" borderId="0" xfId="1" applyNumberFormat="1" applyFont="1" applyBorder="1" applyAlignment="1">
      <alignment horizontal="center" vertical="center" wrapText="1"/>
    </xf>
    <xf numFmtId="49" fontId="6" fillId="0" borderId="0" xfId="1" applyFont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9" fontId="6" fillId="2" borderId="3" xfId="1" applyFont="1" applyFill="1" applyBorder="1" applyAlignment="1">
      <alignment horizontal="center" vertical="center" wrapText="1"/>
    </xf>
    <xf numFmtId="49" fontId="6" fillId="2" borderId="3" xfId="1" applyFont="1" applyFill="1" applyBorder="1" applyAlignment="1">
      <alignment horizontal="left" vertical="center" wrapText="1"/>
    </xf>
    <xf numFmtId="14" fontId="6" fillId="2" borderId="3" xfId="1" applyNumberFormat="1" applyFont="1" applyFill="1" applyBorder="1" applyAlignment="1">
      <alignment horizontal="center" vertical="center" wrapText="1"/>
    </xf>
    <xf numFmtId="49" fontId="1" fillId="3" borderId="0" xfId="1" applyFont="1" applyFill="1" applyAlignment="1"/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49" fontId="2" fillId="3" borderId="3" xfId="1" applyFont="1" applyFill="1" applyBorder="1" applyAlignment="1">
      <alignment horizontal="center" vertical="center" wrapText="1"/>
    </xf>
    <xf numFmtId="49" fontId="2" fillId="3" borderId="3" xfId="1" applyFont="1" applyFill="1" applyBorder="1" applyAlignment="1">
      <alignment horizontal="left" vertical="center" wrapText="1" indent="4"/>
    </xf>
    <xf numFmtId="14" fontId="2" fillId="3" borderId="3" xfId="1" applyNumberFormat="1" applyFont="1" applyFill="1" applyBorder="1" applyAlignment="1">
      <alignment horizontal="center" vertical="center" wrapText="1"/>
    </xf>
    <xf numFmtId="49" fontId="2" fillId="3" borderId="3" xfId="1" applyFont="1" applyFill="1" applyBorder="1" applyAlignment="1">
      <alignment horizontal="left" vertical="center" wrapText="1" indent="2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9" fontId="1" fillId="0" borderId="0" xfId="1" applyFont="1" applyFill="1" applyBorder="1" applyAlignment="1">
      <alignment horizontal="left" vertical="top" wrapText="1"/>
    </xf>
    <xf numFmtId="49" fontId="9" fillId="2" borderId="0" xfId="1" applyFont="1" applyFill="1" applyBorder="1" applyAlignment="1">
      <alignment horizontal="left" vertical="center" wrapText="1"/>
    </xf>
    <xf numFmtId="49" fontId="9" fillId="2" borderId="3" xfId="1" applyFont="1" applyFill="1" applyBorder="1" applyAlignment="1">
      <alignment horizontal="left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3" xfId="1" applyNumberFormat="1" applyFont="1" applyBorder="1" applyAlignment="1">
      <alignment horizontal="center" vertical="center" wrapText="1"/>
    </xf>
    <xf numFmtId="49" fontId="2" fillId="0" borderId="3" xfId="1" applyFont="1" applyBorder="1" applyAlignment="1">
      <alignment horizontal="center" vertical="center" wrapText="1"/>
    </xf>
    <xf numFmtId="49" fontId="2" fillId="0" borderId="3" xfId="1" applyFont="1" applyBorder="1" applyAlignment="1">
      <alignment horizontal="left" vertical="center" wrapText="1" indent="2"/>
    </xf>
    <xf numFmtId="14" fontId="2" fillId="0" borderId="3" xfId="1" applyNumberFormat="1" applyFont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left" vertical="center" wrapText="1" indent="2"/>
    </xf>
    <xf numFmtId="14" fontId="2" fillId="0" borderId="3" xfId="1" applyNumberFormat="1" applyFont="1" applyFill="1" applyBorder="1" applyAlignment="1">
      <alignment horizontal="center" vertical="center" wrapText="1"/>
    </xf>
    <xf numFmtId="49" fontId="2" fillId="0" borderId="3" xfId="1" applyFont="1" applyBorder="1" applyAlignment="1">
      <alignment horizontal="left" vertical="center" wrapText="1" indent="4"/>
    </xf>
    <xf numFmtId="49" fontId="1" fillId="0" borderId="0" xfId="1" applyFont="1" applyBorder="1" applyAlignment="1">
      <alignment horizontal="left" vertical="center" wrapText="1"/>
    </xf>
    <xf numFmtId="49" fontId="1" fillId="0" borderId="3" xfId="1" applyFont="1" applyBorder="1" applyAlignment="1">
      <alignment horizontal="left" vertical="center" wrapText="1"/>
    </xf>
    <xf numFmtId="49" fontId="10" fillId="0" borderId="3" xfId="1" applyFont="1" applyBorder="1" applyAlignment="1">
      <alignment horizontal="left" vertical="center" wrapText="1"/>
    </xf>
    <xf numFmtId="49" fontId="1" fillId="0" borderId="0" xfId="1" applyFont="1" applyAlignment="1">
      <alignment horizontal="center"/>
    </xf>
    <xf numFmtId="0" fontId="1" fillId="0" borderId="0" xfId="1" applyNumberFormat="1" applyFont="1" applyAlignment="1"/>
    <xf numFmtId="4" fontId="9" fillId="2" borderId="0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9" fontId="6" fillId="2" borderId="3" xfId="1" applyFont="1" applyFill="1" applyBorder="1" applyAlignment="1">
      <alignment horizontal="left" vertical="center" wrapText="1" indent="2"/>
    </xf>
    <xf numFmtId="49" fontId="2" fillId="0" borderId="3" xfId="1" applyFont="1" applyBorder="1" applyAlignment="1">
      <alignment horizontal="left" vertical="center" wrapText="1" indent="6"/>
    </xf>
    <xf numFmtId="49" fontId="2" fillId="0" borderId="3" xfId="1" applyFont="1" applyBorder="1" applyAlignment="1">
      <alignment horizontal="left" vertical="center" wrapText="1" indent="5"/>
    </xf>
    <xf numFmtId="4" fontId="9" fillId="2" borderId="0" xfId="1" applyNumberFormat="1" applyFont="1" applyFill="1" applyBorder="1" applyAlignment="1">
      <alignment horizontal="center" vertical="top" wrapText="1"/>
    </xf>
    <xf numFmtId="4" fontId="9" fillId="2" borderId="3" xfId="1" applyNumberFormat="1" applyFont="1" applyFill="1" applyBorder="1" applyAlignment="1">
      <alignment horizontal="center" vertical="top" wrapText="1"/>
    </xf>
    <xf numFmtId="164" fontId="9" fillId="2" borderId="0" xfId="1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top" wrapText="1"/>
    </xf>
    <xf numFmtId="2" fontId="1" fillId="0" borderId="0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center" vertical="top" wrapText="1"/>
    </xf>
    <xf numFmtId="49" fontId="9" fillId="0" borderId="0" xfId="1" applyFont="1" applyFill="1" applyAlignment="1"/>
    <xf numFmtId="2" fontId="9" fillId="2" borderId="0" xfId="1" applyNumberFormat="1" applyFont="1" applyFill="1" applyBorder="1" applyAlignment="1">
      <alignment horizontal="center" vertical="center" wrapText="1"/>
    </xf>
    <xf numFmtId="2" fontId="9" fillId="2" borderId="3" xfId="1" applyNumberFormat="1" applyFont="1" applyFill="1" applyBorder="1" applyAlignment="1">
      <alignment horizontal="center" vertical="center" wrapText="1"/>
    </xf>
    <xf numFmtId="49" fontId="1" fillId="0" borderId="0" xfId="1" applyFont="1" applyFill="1" applyAlignment="1"/>
    <xf numFmtId="2" fontId="1" fillId="0" borderId="3" xfId="1" applyNumberFormat="1" applyFont="1" applyFill="1" applyBorder="1" applyAlignment="1">
      <alignment horizontal="center" vertical="center" wrapText="1"/>
    </xf>
    <xf numFmtId="2" fontId="9" fillId="0" borderId="0" xfId="1" applyNumberFormat="1" applyFont="1" applyFill="1" applyAlignment="1"/>
    <xf numFmtId="4" fontId="1" fillId="3" borderId="3" xfId="1" applyNumberFormat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left" vertical="center" wrapText="1" indent="4"/>
    </xf>
    <xf numFmtId="2" fontId="9" fillId="2" borderId="3" xfId="1" applyNumberFormat="1" applyFont="1" applyFill="1" applyBorder="1" applyAlignment="1">
      <alignment horizontal="center" vertical="top" wrapText="1"/>
    </xf>
    <xf numFmtId="2" fontId="1" fillId="0" borderId="0" xfId="1" applyNumberFormat="1" applyFont="1" applyFill="1" applyBorder="1" applyAlignment="1">
      <alignment horizontal="center" vertical="top" wrapText="1"/>
    </xf>
    <xf numFmtId="49" fontId="10" fillId="0" borderId="0" xfId="1" applyFont="1" applyAlignment="1"/>
    <xf numFmtId="164" fontId="1" fillId="3" borderId="0" xfId="1" applyNumberFormat="1" applyFont="1" applyFill="1" applyBorder="1" applyAlignment="1">
      <alignment horizontal="center" vertical="center" wrapText="1"/>
    </xf>
    <xf numFmtId="164" fontId="1" fillId="3" borderId="3" xfId="1" applyNumberFormat="1" applyFont="1" applyFill="1" applyBorder="1" applyAlignment="1">
      <alignment horizontal="center" vertical="center" wrapText="1"/>
    </xf>
    <xf numFmtId="49" fontId="6" fillId="3" borderId="0" xfId="1" applyFont="1" applyFill="1" applyBorder="1" applyAlignment="1">
      <alignment horizontal="center" vertical="center" wrapText="1"/>
    </xf>
    <xf numFmtId="49" fontId="2" fillId="0" borderId="3" xfId="1" applyFont="1" applyBorder="1" applyAlignment="1">
      <alignment horizontal="left" vertical="center" wrapText="1"/>
    </xf>
    <xf numFmtId="49" fontId="1" fillId="4" borderId="0" xfId="1" applyFont="1" applyFill="1" applyAlignment="1"/>
    <xf numFmtId="49" fontId="6" fillId="2" borderId="3" xfId="1" applyFont="1" applyFill="1" applyBorder="1" applyAlignment="1">
      <alignment horizontal="left" vertical="center" wrapText="1" indent="4"/>
    </xf>
    <xf numFmtId="4" fontId="10" fillId="2" borderId="0" xfId="1" applyNumberFormat="1" applyFont="1" applyFill="1" applyBorder="1" applyAlignment="1">
      <alignment horizontal="center" vertical="center" wrapText="1"/>
    </xf>
    <xf numFmtId="4" fontId="10" fillId="2" borderId="3" xfId="1" applyNumberFormat="1" applyFont="1" applyFill="1" applyBorder="1" applyAlignment="1">
      <alignment horizontal="center" vertical="center" wrapText="1"/>
    </xf>
    <xf numFmtId="49" fontId="2" fillId="2" borderId="3" xfId="1" applyFont="1" applyFill="1" applyBorder="1" applyAlignment="1">
      <alignment horizontal="center" vertical="center" wrapText="1"/>
    </xf>
    <xf numFmtId="49" fontId="2" fillId="2" borderId="3" xfId="1" applyFont="1" applyFill="1" applyBorder="1" applyAlignment="1">
      <alignment horizontal="left" vertical="center" wrapText="1"/>
    </xf>
    <xf numFmtId="16" fontId="2" fillId="0" borderId="3" xfId="1" applyNumberFormat="1" applyFont="1" applyBorder="1" applyAlignment="1">
      <alignment horizontal="center" vertical="center" wrapText="1"/>
    </xf>
    <xf numFmtId="49" fontId="9" fillId="0" borderId="0" xfId="1" applyFont="1" applyAlignment="1"/>
    <xf numFmtId="4" fontId="9" fillId="0" borderId="0" xfId="1" applyNumberFormat="1" applyFont="1" applyFill="1" applyAlignment="1"/>
    <xf numFmtId="4" fontId="9" fillId="0" borderId="0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49" fontId="6" fillId="0" borderId="3" xfId="1" applyFont="1" applyBorder="1" applyAlignment="1">
      <alignment horizontal="center" vertical="center" wrapText="1"/>
    </xf>
    <xf numFmtId="49" fontId="6" fillId="0" borderId="3" xfId="1" applyFont="1" applyBorder="1" applyAlignment="1">
      <alignment horizontal="left" vertical="center" wrapText="1" indent="2"/>
    </xf>
    <xf numFmtId="16" fontId="6" fillId="0" borderId="3" xfId="1" applyNumberFormat="1" applyFont="1" applyBorder="1" applyAlignment="1">
      <alignment horizontal="center" vertical="center" wrapText="1"/>
    </xf>
    <xf numFmtId="4" fontId="9" fillId="3" borderId="0" xfId="1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 applyAlignment="1">
      <alignment horizontal="center" vertical="center" wrapText="1"/>
    </xf>
    <xf numFmtId="4" fontId="10" fillId="3" borderId="3" xfId="1" applyNumberFormat="1" applyFont="1" applyFill="1" applyBorder="1" applyAlignment="1">
      <alignment horizontal="center" vertical="center" wrapText="1"/>
    </xf>
    <xf numFmtId="4" fontId="1" fillId="3" borderId="0" xfId="1" applyNumberFormat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49" fontId="6" fillId="3" borderId="3" xfId="1" applyFont="1" applyFill="1" applyBorder="1" applyAlignment="1">
      <alignment horizontal="center" vertical="center" wrapText="1"/>
    </xf>
    <xf numFmtId="49" fontId="6" fillId="3" borderId="3" xfId="1" applyFont="1" applyFill="1" applyBorder="1" applyAlignment="1">
      <alignment horizontal="left" vertical="center" wrapText="1" indent="2"/>
    </xf>
    <xf numFmtId="16" fontId="2" fillId="3" borderId="3" xfId="1" applyNumberFormat="1" applyFont="1" applyFill="1" applyBorder="1" applyAlignment="1">
      <alignment horizontal="center" vertical="center" wrapText="1"/>
    </xf>
    <xf numFmtId="4" fontId="10" fillId="3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Alignment="1"/>
    <xf numFmtId="0" fontId="1" fillId="0" borderId="0" xfId="1" applyNumberFormat="1" applyFont="1" applyFill="1" applyAlignment="1"/>
    <xf numFmtId="49" fontId="6" fillId="3" borderId="3" xfId="1" applyFont="1" applyFill="1" applyBorder="1" applyAlignment="1">
      <alignment horizontal="left" vertical="center" wrapText="1"/>
    </xf>
    <xf numFmtId="49" fontId="10" fillId="0" borderId="0" xfId="1" applyFont="1" applyFill="1" applyAlignment="1"/>
    <xf numFmtId="49" fontId="11" fillId="3" borderId="0" xfId="1" applyFont="1" applyFill="1" applyBorder="1" applyAlignment="1">
      <alignment horizontal="center" vertical="center" wrapText="1"/>
    </xf>
    <xf numFmtId="49" fontId="11" fillId="3" borderId="3" xfId="1" applyFont="1" applyFill="1" applyBorder="1" applyAlignment="1">
      <alignment horizontal="center" vertical="center" wrapText="1"/>
    </xf>
    <xf numFmtId="49" fontId="2" fillId="3" borderId="0" xfId="1" applyFont="1" applyFill="1" applyBorder="1" applyAlignment="1">
      <alignment horizontal="center" vertical="center" wrapText="1"/>
    </xf>
    <xf numFmtId="49" fontId="10" fillId="3" borderId="0" xfId="1" applyFont="1" applyFill="1" applyAlignment="1"/>
    <xf numFmtId="4" fontId="1" fillId="3" borderId="0" xfId="1" applyNumberFormat="1" applyFont="1" applyFill="1" applyAlignment="1"/>
    <xf numFmtId="49" fontId="1" fillId="3" borderId="0" xfId="1" applyFont="1" applyFill="1" applyAlignment="1">
      <alignment horizontal="center" vertical="center"/>
    </xf>
    <xf numFmtId="49" fontId="12" fillId="3" borderId="0" xfId="1" applyFont="1" applyFill="1" applyAlignment="1"/>
    <xf numFmtId="49" fontId="13" fillId="3" borderId="0" xfId="1" applyFont="1" applyFill="1" applyAlignment="1">
      <alignment horizontal="center"/>
    </xf>
    <xf numFmtId="49" fontId="12" fillId="3" borderId="0" xfId="1" applyFont="1" applyFill="1" applyAlignment="1">
      <alignment vertical="center"/>
    </xf>
    <xf numFmtId="49" fontId="1" fillId="3" borderId="0" xfId="1" applyFont="1" applyFill="1" applyAlignment="1">
      <alignment vertical="center"/>
    </xf>
    <xf numFmtId="49" fontId="12" fillId="0" borderId="0" xfId="1" applyFont="1" applyAlignment="1">
      <alignment vertical="center"/>
    </xf>
    <xf numFmtId="49" fontId="12" fillId="0" borderId="0" xfId="1" applyFont="1" applyAlignment="1">
      <alignment horizontal="center" vertical="center"/>
    </xf>
    <xf numFmtId="49" fontId="6" fillId="3" borderId="0" xfId="1" applyFont="1" applyFill="1" applyAlignment="1">
      <alignment horizontal="center" vertical="center" wrapText="1"/>
    </xf>
    <xf numFmtId="49" fontId="6" fillId="0" borderId="0" xfId="1" applyFont="1" applyAlignment="1">
      <alignment horizontal="center"/>
    </xf>
    <xf numFmtId="49" fontId="1" fillId="0" borderId="0" xfId="1" applyFont="1" applyAlignment="1">
      <alignment vertical="center"/>
    </xf>
    <xf numFmtId="49" fontId="13" fillId="0" borderId="0" xfId="1" applyFont="1" applyAlignment="1">
      <alignment horizontal="center"/>
    </xf>
    <xf numFmtId="16" fontId="2" fillId="0" borderId="3" xfId="1" applyNumberFormat="1" applyFont="1" applyFill="1" applyBorder="1" applyAlignment="1">
      <alignment horizontal="center" vertical="center" wrapText="1"/>
    </xf>
    <xf numFmtId="49" fontId="6" fillId="0" borderId="3" xfId="1" applyFont="1" applyFill="1" applyBorder="1" applyAlignment="1">
      <alignment horizontal="left" vertical="center" wrapText="1" indent="2"/>
    </xf>
    <xf numFmtId="49" fontId="2" fillId="0" borderId="3" xfId="1" applyFont="1" applyFill="1" applyBorder="1" applyAlignment="1">
      <alignment horizontal="left" vertical="center" wrapText="1" indent="6"/>
    </xf>
    <xf numFmtId="49" fontId="2" fillId="0" borderId="3" xfId="1" applyFont="1" applyFill="1" applyBorder="1" applyAlignment="1">
      <alignment horizontal="left" vertical="center" wrapText="1" indent="8"/>
    </xf>
    <xf numFmtId="164" fontId="1" fillId="0" borderId="3" xfId="1" applyNumberFormat="1" applyFont="1" applyFill="1" applyBorder="1" applyAlignment="1">
      <alignment horizontal="center" vertical="center" wrapText="1"/>
    </xf>
    <xf numFmtId="49" fontId="6" fillId="3" borderId="2" xfId="1" applyFont="1" applyFill="1" applyBorder="1" applyAlignment="1">
      <alignment horizontal="center" vertical="center" wrapText="1"/>
    </xf>
    <xf numFmtId="49" fontId="6" fillId="3" borderId="1" xfId="1" applyFont="1" applyFill="1" applyBorder="1" applyAlignment="1">
      <alignment horizontal="center" vertical="center" wrapText="1"/>
    </xf>
    <xf numFmtId="49" fontId="6" fillId="0" borderId="2" xfId="1" applyFont="1" applyBorder="1" applyAlignment="1">
      <alignment horizontal="center" vertical="center" wrapText="1"/>
    </xf>
    <xf numFmtId="49" fontId="6" fillId="0" borderId="1" xfId="1" applyFont="1" applyBorder="1" applyAlignment="1">
      <alignment horizontal="center" vertical="center" wrapText="1"/>
    </xf>
    <xf numFmtId="49" fontId="12" fillId="0" borderId="0" xfId="1" applyFont="1" applyAlignment="1">
      <alignment horizontal="center" vertical="center"/>
    </xf>
    <xf numFmtId="49" fontId="13" fillId="3" borderId="0" xfId="1" applyFont="1" applyFill="1" applyAlignment="1">
      <alignment horizontal="center"/>
    </xf>
    <xf numFmtId="49" fontId="2" fillId="3" borderId="3" xfId="1" applyFont="1" applyFill="1" applyBorder="1" applyAlignment="1">
      <alignment horizontal="left" vertical="center" wrapText="1"/>
    </xf>
    <xf numFmtId="49" fontId="2" fillId="3" borderId="3" xfId="1" applyFont="1" applyFill="1" applyBorder="1" applyAlignment="1">
      <alignment horizontal="center" vertical="center"/>
    </xf>
    <xf numFmtId="49" fontId="2" fillId="3" borderId="3" xfId="1" applyFont="1" applyFill="1" applyBorder="1" applyAlignment="1">
      <alignment horizontal="center" vertical="center" wrapText="1"/>
    </xf>
    <xf numFmtId="49" fontId="2" fillId="3" borderId="2" xfId="1" applyFont="1" applyFill="1" applyBorder="1" applyAlignment="1">
      <alignment horizontal="center" vertical="center" wrapText="1"/>
    </xf>
    <xf numFmtId="49" fontId="2" fillId="3" borderId="1" xfId="1" applyFont="1" applyFill="1" applyBorder="1" applyAlignment="1">
      <alignment horizontal="center" vertical="center" wrapText="1"/>
    </xf>
    <xf numFmtId="49" fontId="14" fillId="3" borderId="0" xfId="1" applyFont="1" applyFill="1" applyAlignment="1">
      <alignment horizontal="center" vertical="center" wrapText="1"/>
    </xf>
    <xf numFmtId="49" fontId="13" fillId="0" borderId="0" xfId="1" applyFont="1" applyAlignment="1">
      <alignment horizontal="center"/>
    </xf>
    <xf numFmtId="49" fontId="14" fillId="0" borderId="0" xfId="1" applyFont="1" applyAlignment="1">
      <alignment horizontal="center"/>
    </xf>
    <xf numFmtId="49" fontId="6" fillId="0" borderId="0" xfId="1" applyFont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zdovaES/Documents/&#1058;&#1072;&#1088;&#1080;&#1092;/&#1058;&#1072;&#1088;&#1080;&#1092;%20&#1085;&#1072;%202021/&#1058;&#1072;&#1088;&#1080;&#1092;&#1085;&#1072;&#1103;%20&#1079;&#1072;&#1103;&#1074;&#1082;&#1072;/&#1053;&#1072;%20&#1086;&#1090;&#1087;&#1088;&#1072;&#1074;&#1082;&#1091;%2026.06.2020/ENERGY.CALC.NVV.TSO(v1.1.8).BKP_.BKP.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4;1/&#1041;&#1055;_2021/&#1084;&#1072;&#1081;/&#1050;&#1091;&#1079;&#1085;&#1077;&#1094;&#1086;&#1074;/29.07.20/&#1041;&#1055;%20&#1048;&#1090;&#1086;&#1075;_02_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4;1/2021/&#1058;&#1072;&#1088;&#1080;&#1092;&#1099;/&#1048;&#1055;%202022/&#1082;&#1086;&#1088;&#1088;%20&#1048;&#1087;%20&#1085;&#1072;%2029.10.21/ip_fp_291021%20&#1050;&#1086;&#1088;&#1088;&#1077;&#1082;&#1090;&#1080;&#1088;&#1086;&#1074;&#1082;&#1072;%20&#1092;&#1080;&#1085;%20&#1087;&#1083;&#1072;&#1085;&#1072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modVLDProv"/>
      <sheetName val="modCommandButton"/>
      <sheetName val="modVLDProvLIST_MO"/>
      <sheetName val="modfrmRegion"/>
      <sheetName val="modNoContract"/>
      <sheetName val="Титульный"/>
      <sheetName val="modCheckCyan"/>
      <sheetName val="modDOC"/>
      <sheetName val="Список листов"/>
      <sheetName val="Сопроводительные материалы"/>
      <sheetName val="Библиотека документов"/>
      <sheetName val="Регионы аналоги"/>
      <sheetName val="PATTERN_COSTS"/>
      <sheetName val="3_Форма раскрытия информации"/>
      <sheetName val="4_Полезный отпуск"/>
      <sheetName val="5_ЛЭП у.е"/>
      <sheetName val="6 _ПС у.е"/>
      <sheetName val="7_Свод УЕ "/>
      <sheetName val="4.1"/>
      <sheetName val="4.2. расчет K_об"/>
      <sheetName val="Прил. 1"/>
      <sheetName val="Прил. 2-6"/>
      <sheetName val="индекс эффективности ОПР"/>
      <sheetName val="modLT"/>
      <sheetName val="баз. ур. подк. расх. "/>
      <sheetName val="8_Расчет НВВ "/>
      <sheetName val="9 Тариф"/>
      <sheetName val="9_Расчет тарифов"/>
      <sheetName val="9 Тариф снизу"/>
      <sheetName val="ЭЗ"/>
      <sheetName val="11_Корректировка НВВ"/>
      <sheetName val="12_Сырье и материалы"/>
      <sheetName val="modMaterials"/>
      <sheetName val="13_РПР Ремонт "/>
      <sheetName val="modRPR_Repair"/>
      <sheetName val="14_Ремонты ЭСХ"/>
      <sheetName val="modESX_Repair"/>
      <sheetName val="15_Информация по ТО"/>
      <sheetName val="modInformation_TO"/>
      <sheetName val="modStaff"/>
      <sheetName val="16_Персонал"/>
      <sheetName val="modPpr"/>
      <sheetName val="TECHSHEET"/>
      <sheetName val="17_ППР"/>
      <sheetName val="18_ФСК"/>
      <sheetName val="19_Аренда ЭСХ факт"/>
      <sheetName val="modRent_ESX_FACT"/>
      <sheetName val="modCONS_STRUCT_FACT"/>
      <sheetName val="20_Структура потребления факт"/>
      <sheetName val="modRent_ESX_PLAN"/>
      <sheetName val="modCONS_STRUCT_PLAN"/>
      <sheetName val="21_Аренда ЭСХ план"/>
      <sheetName val="22_Структура потребления план"/>
      <sheetName val="23_Лизинг ЭСХ факт"/>
      <sheetName val="modLEASING_ESX_FACT"/>
      <sheetName val="24_Лизинг ЭСХ план"/>
      <sheetName val="modLEASING_ESX_PLAN"/>
      <sheetName val="25_Аренда прочее им. факт"/>
      <sheetName val="modRENT_OTHER_FACT"/>
      <sheetName val="26_Аренда прочее им. план "/>
      <sheetName val="modRENT_OTHER_PLAN"/>
      <sheetName val="27_Лизинг прочее им. факт"/>
      <sheetName val="modLEASING_OTHER_FACT"/>
      <sheetName val="28_Лизинг прочее им. план"/>
      <sheetName val="modLEASING_OTHER_PLAN"/>
      <sheetName val="modRENT_FACT"/>
      <sheetName val="29_Аренда земли факт"/>
      <sheetName val="30_Аренда земли план"/>
      <sheetName val="modRENT_PLAN"/>
      <sheetName val="modNPR"/>
      <sheetName val="31_Прочие НПР "/>
      <sheetName val="modCalcAmortFact"/>
      <sheetName val="32_Расчет амортизации факт"/>
      <sheetName val="32_Расчет амортизации факт макс"/>
      <sheetName val="modCalcAmortFactMax"/>
      <sheetName val="modCalcAmortPlan"/>
      <sheetName val="33_Расчет Амортизации план"/>
      <sheetName val="34_Амортизация свод "/>
      <sheetName val="35_Средняя стоимость ОС"/>
      <sheetName val="36_Прибыль"/>
      <sheetName val="37_Факт потери"/>
      <sheetName val="modLosses"/>
      <sheetName val="modProceedsFact"/>
      <sheetName val="38_товарная выручка факт"/>
      <sheetName val="39_ФСК факт"/>
      <sheetName val="40_ИПР факт "/>
      <sheetName val="41_Бездоговор"/>
      <sheetName val="42_финансовые показатели"/>
      <sheetName val="modProfit"/>
      <sheetName val="43_Депозиты"/>
      <sheetName val="modDeposits"/>
      <sheetName val="modCredit"/>
      <sheetName val="44_кредиты"/>
      <sheetName val="modInstruction"/>
      <sheetName val="modSheetTitle"/>
      <sheetName val="modUncontrolledExpenses"/>
      <sheetName val="modDocs"/>
      <sheetName val="tech"/>
      <sheetName val="45_НВВ РСК"/>
      <sheetName val="46_PEREDACHA.XX.FACT.EXPENSES"/>
      <sheetName val="47_PEREDACHA.M.ХХ Индекс"/>
      <sheetName val="modfrmReestr"/>
      <sheetName val="modReestr"/>
      <sheetName val="REESTR_MO"/>
      <sheetName val="REESTR_LOCATION"/>
      <sheetName val="REESTR_STREET"/>
      <sheetName val="REESTR_ORG"/>
      <sheetName val="modPass"/>
      <sheetName val="Бухгалтерский баланс. Раздел А"/>
      <sheetName val="Бухгалтерский баланс. Раздел П"/>
      <sheetName val="Отчет о финансовых результатах"/>
      <sheetName val="Стоимость активов"/>
      <sheetName val="Оценка ликвидности"/>
      <sheetName val="Оценка фин. уст"/>
      <sheetName val="Оценка дел. активность"/>
      <sheetName val="Обоб. анализ"/>
      <sheetName val="Комментарии"/>
      <sheetName val="Проверка"/>
      <sheetName val="modfrmDocumentPicker"/>
      <sheetName val="modDocumentsAPI"/>
      <sheetName val="SELECTED_DOCS"/>
      <sheetName val="DOCS_DEPENDENCY"/>
      <sheetName val="modGetGeoBase"/>
      <sheetName val="modVLDProvGeneralProc"/>
      <sheetName val="modUpdTemplMain"/>
      <sheetName val="modfrmCheckUpdates"/>
      <sheetName val="modIHLCommandBar"/>
      <sheetName val="modGeneralProcedures"/>
      <sheetName val="modInfo"/>
      <sheetName val="modHLIcons"/>
      <sheetName val="modfrmDateChoose"/>
      <sheetName val="modfrmActivity"/>
      <sheetName val="modTech"/>
      <sheetName val="modfrmU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E17" t="str">
            <v xml:space="preserve">Корректировка </v>
          </cell>
        </row>
        <row r="19">
          <cell r="E19">
            <v>2020</v>
          </cell>
        </row>
        <row r="23">
          <cell r="E23">
            <v>2021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Содержание - расшир.формат"/>
      <sheetName val="Содержание - агрегир. формат"/>
      <sheetName val="Сценарные условия"/>
      <sheetName val="Титул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9.1. Смета затрат"/>
      <sheetName val="9.2. Прочие ДиР"/>
      <sheetName val="10. БДР"/>
      <sheetName val="11.БДДС (ДПН)"/>
      <sheetName val="11.БДДС (ДПН) опер"/>
      <sheetName val="12.Прогнозный баланс"/>
      <sheetName val="Анализ ДР АО "/>
      <sheetName val="Сигма 2020"/>
      <sheetName val="ГУП 2020"/>
      <sheetName val="Сигма 2011"/>
      <sheetName val="Анализ ДР АО полн"/>
      <sheetName val="Анализ ДР АО 21"/>
      <sheetName val="свод 21"/>
      <sheetName val="2020 ФСК (2)"/>
      <sheetName val="2021ФСК "/>
      <sheetName val="ГУП 2021"/>
      <sheetName val="экономия потерь"/>
      <sheetName val="ремонты2020"/>
      <sheetName val="ремонты 2021"/>
      <sheetName val="Возмещение НДС"/>
      <sheetName val="ПРБ"/>
      <sheetName val="ПРБ (2)"/>
      <sheetName val=" объемы (факт)"/>
      <sheetName val="Сумма"/>
      <sheetName val="Себестоимость2020"/>
      <sheetName val="Себестоимость 2021"/>
      <sheetName val="Платежи по кредиту_ИП"/>
      <sheetName val="Платежи по кредиту_ОП"/>
      <sheetName val="План закупок"/>
      <sheetName val="справка"/>
      <sheetName val="Потери_МАВ"/>
      <sheetName val="Лист1 (2)"/>
      <sheetName val="Корр Б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9">
          <cell r="W79">
            <v>8922239.6488599461</v>
          </cell>
        </row>
        <row r="113">
          <cell r="W113">
            <v>27102.341216000001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.план (2)_итог"/>
      <sheetName val="2(1)"/>
      <sheetName val="2"/>
      <sheetName val="Лист1"/>
    </sheetNames>
    <sheetDataSet>
      <sheetData sheetId="0"/>
      <sheetData sheetId="1">
        <row r="149">
          <cell r="AZ149">
            <v>8.93</v>
          </cell>
          <cell r="BL149">
            <v>1024.8693776417817</v>
          </cell>
        </row>
        <row r="150">
          <cell r="AZ150">
            <v>728.9513199999999</v>
          </cell>
          <cell r="BL150">
            <v>6498.0807600000016</v>
          </cell>
        </row>
        <row r="151">
          <cell r="AZ151">
            <v>370.41668000000004</v>
          </cell>
          <cell r="BL151">
            <v>603.85724000000005</v>
          </cell>
        </row>
        <row r="152">
          <cell r="AZ152">
            <v>0</v>
          </cell>
          <cell r="BL152">
            <v>0</v>
          </cell>
        </row>
        <row r="153">
          <cell r="AZ153">
            <v>0</v>
          </cell>
          <cell r="BL153">
            <v>0</v>
          </cell>
        </row>
        <row r="154">
          <cell r="AZ154">
            <v>19.349416640000001</v>
          </cell>
          <cell r="BL154">
            <v>0</v>
          </cell>
        </row>
      </sheetData>
      <sheetData sheetId="2"/>
      <sheetData sheetId="3">
        <row r="6">
          <cell r="C6">
            <v>921.44137764178208</v>
          </cell>
          <cell r="D6">
            <v>83.76739796743459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D422"/>
  <sheetViews>
    <sheetView tabSelected="1" topLeftCell="A25" zoomScale="77" zoomScaleNormal="77" zoomScaleSheetLayoutView="100" workbookViewId="0">
      <pane xSplit="3" ySplit="5" topLeftCell="F183" activePane="bottomRight" state="frozen"/>
      <selection activeCell="A25" sqref="A25"/>
      <selection pane="topRight" activeCell="D25" sqref="D25"/>
      <selection pane="bottomLeft" activeCell="A30" sqref="A30"/>
      <selection pane="bottomRight" activeCell="I30" sqref="I30"/>
    </sheetView>
  </sheetViews>
  <sheetFormatPr defaultColWidth="9.140625" defaultRowHeight="11.25" x14ac:dyDescent="0.15"/>
  <cols>
    <col min="1" max="1" width="11.28515625" style="1" bestFit="1" customWidth="1"/>
    <col min="2" max="2" width="97.85546875" style="1" customWidth="1"/>
    <col min="3" max="3" width="14.85546875" style="2" customWidth="1"/>
    <col min="4" max="4" width="16.28515625" style="1" customWidth="1"/>
    <col min="5" max="5" width="15" style="1" customWidth="1"/>
    <col min="6" max="6" width="16.42578125" style="1" customWidth="1"/>
    <col min="7" max="7" width="22.5703125" style="1" customWidth="1"/>
    <col min="8" max="10" width="16.42578125" style="1" customWidth="1"/>
    <col min="11" max="11" width="21" style="1" customWidth="1"/>
    <col min="12" max="12" width="16.42578125" style="1" customWidth="1"/>
    <col min="13" max="13" width="10.42578125" style="1" customWidth="1"/>
    <col min="14" max="14" width="11.7109375" style="1" bestFit="1" customWidth="1"/>
    <col min="15" max="28" width="9.140625" style="1" customWidth="1"/>
    <col min="29" max="29" width="16.140625" style="1" customWidth="1"/>
    <col min="30" max="16384" width="9.140625" style="1"/>
  </cols>
  <sheetData>
    <row r="7" spans="1:12" ht="18.75" x14ac:dyDescent="0.3">
      <c r="B7" s="129"/>
      <c r="C7" s="129"/>
      <c r="D7" s="129"/>
      <c r="E7" s="129"/>
      <c r="F7" s="129"/>
      <c r="G7" s="129"/>
      <c r="H7" s="129"/>
      <c r="I7" s="129"/>
      <c r="J7" s="129"/>
      <c r="K7" s="111"/>
      <c r="L7" s="111"/>
    </row>
    <row r="8" spans="1:12" ht="15" x14ac:dyDescent="0.15">
      <c r="A8" s="106" t="s">
        <v>610</v>
      </c>
      <c r="B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15">
      <c r="A9" s="110"/>
      <c r="B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15.75" x14ac:dyDescent="0.25">
      <c r="B10" s="130" t="s">
        <v>609</v>
      </c>
      <c r="C10" s="130"/>
      <c r="D10" s="130"/>
      <c r="E10" s="130"/>
      <c r="F10" s="130"/>
      <c r="G10" s="130"/>
      <c r="H10" s="130"/>
      <c r="I10" s="130"/>
      <c r="J10" s="130"/>
      <c r="K10" s="109"/>
      <c r="L10" s="109"/>
    </row>
    <row r="11" spans="1:12" ht="15" x14ac:dyDescent="0.15">
      <c r="B11" s="40"/>
      <c r="C11" s="107" t="s">
        <v>608</v>
      </c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2" ht="15" x14ac:dyDescent="0.15">
      <c r="B12" s="107"/>
      <c r="D12" s="40"/>
      <c r="E12" s="40"/>
      <c r="F12" s="40"/>
      <c r="G12" s="40"/>
      <c r="H12" s="40"/>
      <c r="I12" s="40"/>
      <c r="J12" s="40"/>
      <c r="K12" s="40"/>
      <c r="L12" s="40"/>
    </row>
    <row r="13" spans="1:12" x14ac:dyDescent="0.15">
      <c r="B13" s="2"/>
      <c r="D13" s="40"/>
      <c r="E13" s="40"/>
      <c r="F13" s="40"/>
      <c r="G13" s="40"/>
      <c r="H13" s="40"/>
      <c r="I13" s="40"/>
      <c r="J13" s="40"/>
      <c r="K13" s="40"/>
      <c r="L13" s="40"/>
    </row>
    <row r="14" spans="1:12" ht="15.75" x14ac:dyDescent="0.25">
      <c r="B14" s="130" t="s">
        <v>607</v>
      </c>
      <c r="C14" s="130"/>
      <c r="D14" s="130"/>
      <c r="E14" s="130"/>
      <c r="F14" s="130"/>
      <c r="G14" s="130"/>
      <c r="H14" s="130"/>
      <c r="I14" s="130"/>
      <c r="J14" s="130"/>
      <c r="K14" s="109"/>
      <c r="L14" s="109"/>
    </row>
    <row r="15" spans="1:12" x14ac:dyDescent="0.15">
      <c r="B15" s="2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15.75" x14ac:dyDescent="0.25">
      <c r="B16" s="130" t="s">
        <v>606</v>
      </c>
      <c r="C16" s="130"/>
      <c r="D16" s="130"/>
      <c r="E16" s="130"/>
      <c r="F16" s="130"/>
      <c r="G16" s="130"/>
      <c r="H16" s="130"/>
      <c r="I16" s="130"/>
      <c r="J16" s="130"/>
      <c r="K16" s="109"/>
      <c r="L16" s="109"/>
    </row>
    <row r="17" spans="1:13" x14ac:dyDescent="0.15">
      <c r="B17" s="2"/>
      <c r="D17" s="40"/>
      <c r="E17" s="40"/>
      <c r="F17" s="40"/>
      <c r="G17" s="40"/>
      <c r="H17" s="40"/>
      <c r="I17" s="40"/>
      <c r="J17" s="40"/>
      <c r="K17" s="40"/>
      <c r="L17" s="40"/>
    </row>
    <row r="18" spans="1:13" ht="15.75" x14ac:dyDescent="0.25">
      <c r="A18" s="131" t="s">
        <v>605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09"/>
      <c r="L18" s="109"/>
    </row>
    <row r="19" spans="1:13" ht="15.75" x14ac:dyDescent="0.15">
      <c r="B19" s="128" t="s">
        <v>604</v>
      </c>
      <c r="C19" s="128"/>
      <c r="D19" s="128"/>
      <c r="E19" s="128"/>
      <c r="F19" s="128"/>
      <c r="G19" s="128"/>
      <c r="H19" s="128"/>
      <c r="I19" s="128"/>
      <c r="J19" s="128"/>
      <c r="K19" s="108"/>
      <c r="L19" s="108"/>
    </row>
    <row r="20" spans="1:13" ht="15" x14ac:dyDescent="0.15">
      <c r="B20" s="121" t="s">
        <v>603</v>
      </c>
      <c r="C20" s="121"/>
      <c r="D20" s="121"/>
      <c r="E20" s="121"/>
      <c r="F20" s="121"/>
      <c r="G20" s="107"/>
      <c r="H20" s="107"/>
      <c r="I20" s="107"/>
      <c r="J20" s="107"/>
      <c r="K20" s="107"/>
      <c r="L20" s="107"/>
    </row>
    <row r="21" spans="1:13" ht="15" x14ac:dyDescent="0.15">
      <c r="C21" s="106"/>
    </row>
    <row r="22" spans="1:13" x14ac:dyDescent="0.15">
      <c r="A22" s="105"/>
      <c r="B22" s="16"/>
      <c r="C22" s="101"/>
      <c r="D22" s="16"/>
      <c r="E22" s="16"/>
      <c r="F22" s="16"/>
      <c r="G22" s="16"/>
      <c r="H22" s="16"/>
      <c r="I22" s="16"/>
      <c r="J22" s="16"/>
      <c r="K22" s="16"/>
      <c r="L22" s="16"/>
    </row>
    <row r="23" spans="1:13" ht="15" x14ac:dyDescent="0.15">
      <c r="A23" s="104"/>
      <c r="B23" s="16"/>
      <c r="C23" s="101"/>
      <c r="D23" s="16"/>
      <c r="E23" s="16"/>
      <c r="F23" s="16"/>
      <c r="G23" s="16"/>
      <c r="H23" s="16"/>
      <c r="I23" s="16"/>
      <c r="J23" s="16"/>
      <c r="K23" s="16"/>
      <c r="L23" s="16"/>
    </row>
    <row r="24" spans="1:13" ht="18.75" x14ac:dyDescent="0.3">
      <c r="A24" s="104" t="s">
        <v>602</v>
      </c>
      <c r="B24" s="122" t="s">
        <v>601</v>
      </c>
      <c r="C24" s="122"/>
      <c r="D24" s="122"/>
      <c r="E24" s="122"/>
      <c r="F24" s="122"/>
      <c r="G24" s="122"/>
      <c r="H24" s="122"/>
      <c r="I24" s="122"/>
      <c r="J24" s="122"/>
      <c r="K24" s="103"/>
      <c r="L24" s="103"/>
    </row>
    <row r="25" spans="1:13" ht="15.75" x14ac:dyDescent="0.3">
      <c r="A25" s="102"/>
      <c r="B25" s="16"/>
      <c r="C25" s="101"/>
      <c r="D25" s="100"/>
      <c r="E25" s="100"/>
      <c r="F25" s="100"/>
      <c r="G25" s="100"/>
      <c r="H25" s="100"/>
      <c r="I25" s="100"/>
      <c r="J25" s="99" t="s">
        <v>600</v>
      </c>
      <c r="K25" s="99"/>
      <c r="L25" s="99"/>
    </row>
    <row r="26" spans="1:13" ht="20.45" customHeight="1" x14ac:dyDescent="0.15">
      <c r="A26" s="123" t="s">
        <v>599</v>
      </c>
      <c r="B26" s="124" t="s">
        <v>598</v>
      </c>
      <c r="C26" s="125" t="s">
        <v>597</v>
      </c>
      <c r="D26" s="126"/>
      <c r="E26" s="127"/>
      <c r="F26" s="127"/>
      <c r="G26" s="127"/>
      <c r="H26" s="127"/>
      <c r="I26" s="127"/>
      <c r="J26" s="127"/>
      <c r="K26" s="98"/>
      <c r="L26" s="98"/>
    </row>
    <row r="27" spans="1:13" ht="141" customHeight="1" x14ac:dyDescent="0.15">
      <c r="A27" s="123"/>
      <c r="B27" s="124"/>
      <c r="C27" s="125"/>
      <c r="D27" s="19" t="s">
        <v>596</v>
      </c>
      <c r="E27" s="19" t="s">
        <v>595</v>
      </c>
      <c r="F27" s="19" t="s">
        <v>594</v>
      </c>
      <c r="G27" s="19" t="s">
        <v>593</v>
      </c>
      <c r="H27" s="19" t="s">
        <v>592</v>
      </c>
      <c r="I27" s="19" t="s">
        <v>591</v>
      </c>
      <c r="J27" s="19" t="s">
        <v>590</v>
      </c>
      <c r="K27" s="19" t="s">
        <v>589</v>
      </c>
      <c r="L27" s="98"/>
    </row>
    <row r="28" spans="1:13" ht="15" x14ac:dyDescent="0.15">
      <c r="A28" s="97">
        <v>1</v>
      </c>
      <c r="B28" s="97">
        <v>2</v>
      </c>
      <c r="C28" s="97">
        <v>3</v>
      </c>
      <c r="D28" s="97">
        <v>4</v>
      </c>
      <c r="E28" s="97" t="s">
        <v>588</v>
      </c>
      <c r="F28" s="97" t="s">
        <v>587</v>
      </c>
      <c r="G28" s="97" t="s">
        <v>586</v>
      </c>
      <c r="H28" s="97" t="s">
        <v>585</v>
      </c>
      <c r="I28" s="97" t="s">
        <v>584</v>
      </c>
      <c r="J28" s="97" t="s">
        <v>583</v>
      </c>
      <c r="K28" s="97" t="s">
        <v>582</v>
      </c>
      <c r="L28" s="96"/>
    </row>
    <row r="29" spans="1:13" ht="15" customHeight="1" x14ac:dyDescent="0.15">
      <c r="A29" s="117" t="s">
        <v>581</v>
      </c>
      <c r="B29" s="118"/>
      <c r="C29" s="118"/>
      <c r="D29" s="118"/>
      <c r="E29" s="118"/>
      <c r="F29" s="118"/>
      <c r="G29" s="118"/>
      <c r="H29" s="118"/>
      <c r="I29" s="118"/>
      <c r="J29" s="118"/>
      <c r="K29" s="67"/>
      <c r="L29" s="67"/>
    </row>
    <row r="30" spans="1:13" s="57" customFormat="1" ht="15.75" x14ac:dyDescent="0.25">
      <c r="A30" s="88" t="s">
        <v>580</v>
      </c>
      <c r="B30" s="94" t="s">
        <v>579</v>
      </c>
      <c r="C30" s="88" t="s">
        <v>10</v>
      </c>
      <c r="D30" s="87">
        <v>474.19465099999996</v>
      </c>
      <c r="E30" s="87">
        <f>+E31+E35+E36+E37+E38+E41+E42+E43+E46</f>
        <v>6453.9957000000004</v>
      </c>
      <c r="F30" s="87">
        <v>1033.659285351747</v>
      </c>
      <c r="G30" s="87">
        <f>+G31+G35+G36+G37+G38+G41+G42+G43+G46</f>
        <v>7828.01</v>
      </c>
      <c r="H30" s="87">
        <v>1292.7507071804851</v>
      </c>
      <c r="I30" s="87">
        <f>+I31+I35+I36+I37+I38+I41+I42+I43+I46</f>
        <v>8133.3023899999998</v>
      </c>
      <c r="J30" s="87">
        <f t="shared" ref="J30:J61" si="0">+D30+F30+H30</f>
        <v>2800.6046435322323</v>
      </c>
      <c r="K30" s="87">
        <f t="shared" ref="K30:K61" si="1">+E30+G30+I30</f>
        <v>22415.308090000002</v>
      </c>
      <c r="L30" s="83"/>
      <c r="M30" s="95"/>
    </row>
    <row r="31" spans="1:13" ht="15.75" x14ac:dyDescent="0.15">
      <c r="A31" s="90" t="s">
        <v>578</v>
      </c>
      <c r="B31" s="22" t="s">
        <v>373</v>
      </c>
      <c r="C31" s="19" t="s">
        <v>10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f t="shared" si="0"/>
        <v>0</v>
      </c>
      <c r="K31" s="85">
        <f t="shared" si="1"/>
        <v>0</v>
      </c>
      <c r="L31" s="91"/>
    </row>
    <row r="32" spans="1:13" ht="31.5" x14ac:dyDescent="0.15">
      <c r="A32" s="35" t="s">
        <v>577</v>
      </c>
      <c r="B32" s="34" t="s">
        <v>202</v>
      </c>
      <c r="C32" s="19" t="s">
        <v>10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f t="shared" si="0"/>
        <v>0</v>
      </c>
      <c r="K32" s="85">
        <f t="shared" si="1"/>
        <v>0</v>
      </c>
      <c r="L32" s="91"/>
    </row>
    <row r="33" spans="1:14" ht="31.5" x14ac:dyDescent="0.15">
      <c r="A33" s="35" t="s">
        <v>576</v>
      </c>
      <c r="B33" s="34" t="s">
        <v>199</v>
      </c>
      <c r="C33" s="19" t="s">
        <v>10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f t="shared" si="0"/>
        <v>0</v>
      </c>
      <c r="K33" s="85">
        <f t="shared" si="1"/>
        <v>0</v>
      </c>
      <c r="L33" s="91"/>
    </row>
    <row r="34" spans="1:14" ht="31.5" x14ac:dyDescent="0.15">
      <c r="A34" s="35" t="s">
        <v>575</v>
      </c>
      <c r="B34" s="34" t="s">
        <v>196</v>
      </c>
      <c r="C34" s="19" t="s">
        <v>10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f t="shared" si="0"/>
        <v>0</v>
      </c>
      <c r="K34" s="85">
        <f t="shared" si="1"/>
        <v>0</v>
      </c>
      <c r="L34" s="85"/>
      <c r="M34" s="85"/>
    </row>
    <row r="35" spans="1:14" ht="15.75" x14ac:dyDescent="0.15">
      <c r="A35" s="112" t="s">
        <v>574</v>
      </c>
      <c r="B35" s="34" t="s">
        <v>368</v>
      </c>
      <c r="C35" s="19" t="s">
        <v>10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f t="shared" si="0"/>
        <v>0</v>
      </c>
      <c r="K35" s="85">
        <f t="shared" si="1"/>
        <v>0</v>
      </c>
      <c r="L35" s="91"/>
    </row>
    <row r="36" spans="1:14" ht="15.75" x14ac:dyDescent="0.25">
      <c r="A36" s="112" t="s">
        <v>573</v>
      </c>
      <c r="B36" s="34" t="s">
        <v>366</v>
      </c>
      <c r="C36" s="19" t="s">
        <v>10</v>
      </c>
      <c r="D36" s="85">
        <v>474.19465099999996</v>
      </c>
      <c r="E36" s="85">
        <f>6453995.7/1000</f>
        <v>6453.9957000000004</v>
      </c>
      <c r="F36" s="85">
        <v>1021.399285351747</v>
      </c>
      <c r="G36" s="85">
        <v>7828.01</v>
      </c>
      <c r="H36" s="85">
        <v>1292.7507071804851</v>
      </c>
      <c r="I36" s="85">
        <f>+G36*1.039</f>
        <v>8133.3023899999998</v>
      </c>
      <c r="J36" s="85">
        <f t="shared" si="0"/>
        <v>2788.3446435322321</v>
      </c>
      <c r="K36" s="85">
        <f t="shared" si="1"/>
        <v>22415.308090000002</v>
      </c>
      <c r="L36" s="91">
        <f>9703.72-E47</f>
        <v>-1.0820000001331209E-2</v>
      </c>
      <c r="N36" s="64"/>
    </row>
    <row r="37" spans="1:14" ht="15.75" x14ac:dyDescent="0.25">
      <c r="A37" s="112" t="s">
        <v>572</v>
      </c>
      <c r="B37" s="34" t="s">
        <v>364</v>
      </c>
      <c r="C37" s="19" t="s">
        <v>10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f t="shared" si="0"/>
        <v>0</v>
      </c>
      <c r="K37" s="85">
        <f t="shared" si="1"/>
        <v>0</v>
      </c>
      <c r="L37" s="91"/>
      <c r="N37" s="64"/>
    </row>
    <row r="38" spans="1:14" ht="15.75" x14ac:dyDescent="0.15">
      <c r="A38" s="112" t="s">
        <v>571</v>
      </c>
      <c r="B38" s="34" t="s">
        <v>362</v>
      </c>
      <c r="C38" s="19" t="s">
        <v>10</v>
      </c>
      <c r="D38" s="85">
        <v>0</v>
      </c>
      <c r="E38" s="85">
        <v>0</v>
      </c>
      <c r="F38" s="85">
        <v>12.26</v>
      </c>
      <c r="G38" s="85">
        <v>0</v>
      </c>
      <c r="H38" s="85">
        <v>0</v>
      </c>
      <c r="I38" s="85">
        <v>0</v>
      </c>
      <c r="J38" s="85">
        <f t="shared" si="0"/>
        <v>12.26</v>
      </c>
      <c r="K38" s="85">
        <f t="shared" si="1"/>
        <v>0</v>
      </c>
      <c r="L38" s="91"/>
    </row>
    <row r="39" spans="1:14" ht="15.75" x14ac:dyDescent="0.15">
      <c r="A39" s="112" t="s">
        <v>570</v>
      </c>
      <c r="B39" s="34" t="s">
        <v>569</v>
      </c>
      <c r="C39" s="19" t="s">
        <v>10</v>
      </c>
      <c r="D39" s="85">
        <v>0</v>
      </c>
      <c r="E39" s="85">
        <v>0</v>
      </c>
      <c r="F39" s="85">
        <v>12.26</v>
      </c>
      <c r="G39" s="85">
        <v>0</v>
      </c>
      <c r="H39" s="85">
        <v>0</v>
      </c>
      <c r="I39" s="85">
        <v>0</v>
      </c>
      <c r="J39" s="85">
        <f t="shared" si="0"/>
        <v>12.26</v>
      </c>
      <c r="K39" s="85">
        <f t="shared" si="1"/>
        <v>0</v>
      </c>
      <c r="L39" s="86"/>
    </row>
    <row r="40" spans="1:14" ht="31.5" x14ac:dyDescent="0.15">
      <c r="A40" s="112" t="s">
        <v>568</v>
      </c>
      <c r="B40" s="34" t="s">
        <v>567</v>
      </c>
      <c r="C40" s="19" t="s">
        <v>10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f t="shared" si="0"/>
        <v>0</v>
      </c>
      <c r="K40" s="85">
        <f t="shared" si="1"/>
        <v>0</v>
      </c>
      <c r="L40" s="91"/>
    </row>
    <row r="41" spans="1:14" ht="15.75" x14ac:dyDescent="0.15">
      <c r="A41" s="112" t="s">
        <v>566</v>
      </c>
      <c r="B41" s="34" t="s">
        <v>360</v>
      </c>
      <c r="C41" s="19" t="s">
        <v>10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f t="shared" si="0"/>
        <v>0</v>
      </c>
      <c r="K41" s="85">
        <f t="shared" si="1"/>
        <v>0</v>
      </c>
      <c r="L41" s="91"/>
    </row>
    <row r="42" spans="1:14" ht="15.75" x14ac:dyDescent="0.15">
      <c r="A42" s="112" t="s">
        <v>565</v>
      </c>
      <c r="B42" s="34" t="s">
        <v>358</v>
      </c>
      <c r="C42" s="19" t="s">
        <v>10</v>
      </c>
      <c r="D42" s="85">
        <v>0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f t="shared" si="0"/>
        <v>0</v>
      </c>
      <c r="K42" s="85">
        <f t="shared" si="1"/>
        <v>0</v>
      </c>
      <c r="L42" s="91"/>
    </row>
    <row r="43" spans="1:14" ht="31.5" x14ac:dyDescent="0.15">
      <c r="A43" s="112" t="s">
        <v>564</v>
      </c>
      <c r="B43" s="34" t="s">
        <v>356</v>
      </c>
      <c r="C43" s="19" t="s">
        <v>10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f t="shared" si="0"/>
        <v>0</v>
      </c>
      <c r="K43" s="85">
        <f t="shared" si="1"/>
        <v>0</v>
      </c>
      <c r="L43" s="91"/>
    </row>
    <row r="44" spans="1:14" ht="15.75" x14ac:dyDescent="0.15">
      <c r="A44" s="35" t="s">
        <v>563</v>
      </c>
      <c r="B44" s="61" t="s">
        <v>13</v>
      </c>
      <c r="C44" s="19" t="s">
        <v>10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f t="shared" si="0"/>
        <v>0</v>
      </c>
      <c r="K44" s="85">
        <f t="shared" si="1"/>
        <v>0</v>
      </c>
      <c r="L44" s="91"/>
    </row>
    <row r="45" spans="1:14" ht="15.75" x14ac:dyDescent="0.15">
      <c r="A45" s="35" t="s">
        <v>562</v>
      </c>
      <c r="B45" s="61" t="s">
        <v>11</v>
      </c>
      <c r="C45" s="19" t="s">
        <v>10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f t="shared" si="0"/>
        <v>0</v>
      </c>
      <c r="K45" s="85">
        <f t="shared" si="1"/>
        <v>0</v>
      </c>
      <c r="L45" s="91"/>
    </row>
    <row r="46" spans="1:14" ht="15.75" x14ac:dyDescent="0.25">
      <c r="A46" s="90" t="s">
        <v>561</v>
      </c>
      <c r="B46" s="22" t="s">
        <v>346</v>
      </c>
      <c r="C46" s="19" t="s">
        <v>10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f t="shared" si="0"/>
        <v>0</v>
      </c>
      <c r="K46" s="85">
        <f t="shared" si="1"/>
        <v>0</v>
      </c>
      <c r="L46" s="91"/>
      <c r="M46" s="64"/>
    </row>
    <row r="47" spans="1:14" s="57" customFormat="1" ht="31.5" x14ac:dyDescent="0.15">
      <c r="A47" s="88" t="s">
        <v>560</v>
      </c>
      <c r="B47" s="94" t="s">
        <v>559</v>
      </c>
      <c r="C47" s="88" t="s">
        <v>10</v>
      </c>
      <c r="D47" s="87">
        <v>474.19465099999996</v>
      </c>
      <c r="E47" s="87">
        <f>+E48+E52+E53+E54+E55+E56+E57+E58+E61</f>
        <v>9703.7308200000007</v>
      </c>
      <c r="F47" s="87">
        <v>1004.2048103517468</v>
      </c>
      <c r="G47" s="87">
        <f>+G48+G52+G53+G54+G55+G56+G57+G58+G61</f>
        <v>8943.2135695999987</v>
      </c>
      <c r="H47" s="87">
        <v>1227.5613946804849</v>
      </c>
      <c r="I47" s="87">
        <f>+I48+I52+I53+I54+I55+I56+I57+I58+I61</f>
        <v>10300.855087999998</v>
      </c>
      <c r="J47" s="87">
        <f t="shared" si="0"/>
        <v>2705.9608560322317</v>
      </c>
      <c r="K47" s="87">
        <f t="shared" si="1"/>
        <v>28947.799477599998</v>
      </c>
      <c r="L47" s="83">
        <f>+'[2]10. БДР'!$W$79</f>
        <v>8922239.6488599461</v>
      </c>
      <c r="M47" s="92">
        <f>+'[2]10. БДР'!$W$113</f>
        <v>27102.341216000001</v>
      </c>
      <c r="N47" s="93">
        <f>+L47-M47+G77*1000</f>
        <v>8942407.2424439471</v>
      </c>
    </row>
    <row r="48" spans="1:14" ht="15.75" x14ac:dyDescent="0.15">
      <c r="A48" s="90" t="s">
        <v>558</v>
      </c>
      <c r="B48" s="22" t="s">
        <v>373</v>
      </c>
      <c r="C48" s="19" t="s">
        <v>10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f t="shared" si="0"/>
        <v>0</v>
      </c>
      <c r="K48" s="60">
        <f t="shared" si="1"/>
        <v>0</v>
      </c>
      <c r="L48" s="86"/>
      <c r="N48" s="92">
        <f>+N47/1000-G71</f>
        <v>382.49724244394747</v>
      </c>
    </row>
    <row r="49" spans="1:13" ht="31.5" x14ac:dyDescent="0.15">
      <c r="A49" s="21" t="s">
        <v>545</v>
      </c>
      <c r="B49" s="20" t="s">
        <v>202</v>
      </c>
      <c r="C49" s="19" t="s">
        <v>10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f t="shared" si="0"/>
        <v>0</v>
      </c>
      <c r="K49" s="60">
        <f t="shared" si="1"/>
        <v>0</v>
      </c>
      <c r="L49" s="86"/>
    </row>
    <row r="50" spans="1:13" ht="31.5" x14ac:dyDescent="0.15">
      <c r="A50" s="21" t="s">
        <v>543</v>
      </c>
      <c r="B50" s="20" t="s">
        <v>199</v>
      </c>
      <c r="C50" s="19" t="s">
        <v>10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f t="shared" si="0"/>
        <v>0</v>
      </c>
      <c r="K50" s="60">
        <f t="shared" si="1"/>
        <v>0</v>
      </c>
      <c r="L50" s="86"/>
    </row>
    <row r="51" spans="1:13" ht="31.5" x14ac:dyDescent="0.15">
      <c r="A51" s="21" t="s">
        <v>533</v>
      </c>
      <c r="B51" s="20" t="s">
        <v>196</v>
      </c>
      <c r="C51" s="19" t="s">
        <v>10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f t="shared" si="0"/>
        <v>0</v>
      </c>
      <c r="K51" s="60">
        <f t="shared" si="1"/>
        <v>0</v>
      </c>
      <c r="L51" s="86"/>
    </row>
    <row r="52" spans="1:13" ht="15.75" x14ac:dyDescent="0.15">
      <c r="A52" s="90" t="s">
        <v>557</v>
      </c>
      <c r="B52" s="22" t="s">
        <v>368</v>
      </c>
      <c r="C52" s="19" t="s">
        <v>10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f t="shared" si="0"/>
        <v>0</v>
      </c>
      <c r="K52" s="60">
        <f t="shared" si="1"/>
        <v>0</v>
      </c>
      <c r="L52" s="86"/>
    </row>
    <row r="53" spans="1:13" ht="15.75" x14ac:dyDescent="0.15">
      <c r="A53" s="90" t="s">
        <v>556</v>
      </c>
      <c r="B53" s="34" t="s">
        <v>366</v>
      </c>
      <c r="C53" s="19" t="s">
        <v>10</v>
      </c>
      <c r="D53" s="60">
        <v>474.19465099999996</v>
      </c>
      <c r="E53" s="60">
        <f>+E62+E71+E77+E78+E79+E82</f>
        <v>9703.7308200000007</v>
      </c>
      <c r="F53" s="60">
        <v>991.94481035174681</v>
      </c>
      <c r="G53" s="60">
        <f>+G62+G71+G77+G78+G79+G82</f>
        <v>8943.2135695999987</v>
      </c>
      <c r="H53" s="60">
        <v>1227.5613946804849</v>
      </c>
      <c r="I53" s="60">
        <f>+I62+I71+I77+I78+I79+I82</f>
        <v>10300.855087999998</v>
      </c>
      <c r="J53" s="60">
        <f t="shared" si="0"/>
        <v>2693.700856032232</v>
      </c>
      <c r="K53" s="60">
        <f t="shared" si="1"/>
        <v>28947.799477599998</v>
      </c>
      <c r="L53" s="86"/>
    </row>
    <row r="54" spans="1:13" ht="15.75" x14ac:dyDescent="0.15">
      <c r="A54" s="90" t="s">
        <v>555</v>
      </c>
      <c r="B54" s="22" t="s">
        <v>364</v>
      </c>
      <c r="C54" s="19" t="s">
        <v>10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f t="shared" si="0"/>
        <v>0</v>
      </c>
      <c r="K54" s="60">
        <f t="shared" si="1"/>
        <v>0</v>
      </c>
      <c r="L54" s="86"/>
    </row>
    <row r="55" spans="1:13" ht="15.75" x14ac:dyDescent="0.15">
      <c r="A55" s="90" t="s">
        <v>554</v>
      </c>
      <c r="B55" s="22" t="s">
        <v>362</v>
      </c>
      <c r="C55" s="19" t="s">
        <v>10</v>
      </c>
      <c r="D55" s="85">
        <v>0</v>
      </c>
      <c r="E55" s="85">
        <v>0</v>
      </c>
      <c r="F55" s="85">
        <v>12.26</v>
      </c>
      <c r="G55" s="85">
        <v>0</v>
      </c>
      <c r="H55" s="85">
        <v>0</v>
      </c>
      <c r="I55" s="85">
        <v>0</v>
      </c>
      <c r="J55" s="85">
        <f t="shared" si="0"/>
        <v>12.26</v>
      </c>
      <c r="K55" s="85">
        <f t="shared" si="1"/>
        <v>0</v>
      </c>
      <c r="L55" s="91"/>
    </row>
    <row r="56" spans="1:13" ht="15.75" x14ac:dyDescent="0.15">
      <c r="A56" s="90" t="s">
        <v>553</v>
      </c>
      <c r="B56" s="22" t="s">
        <v>360</v>
      </c>
      <c r="C56" s="19" t="s">
        <v>10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f t="shared" si="0"/>
        <v>0</v>
      </c>
      <c r="K56" s="60">
        <f t="shared" si="1"/>
        <v>0</v>
      </c>
      <c r="L56" s="86"/>
    </row>
    <row r="57" spans="1:13" ht="15.75" x14ac:dyDescent="0.15">
      <c r="A57" s="90" t="s">
        <v>552</v>
      </c>
      <c r="B57" s="22" t="s">
        <v>358</v>
      </c>
      <c r="C57" s="19" t="s">
        <v>10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f t="shared" si="0"/>
        <v>0</v>
      </c>
      <c r="K57" s="60">
        <f t="shared" si="1"/>
        <v>0</v>
      </c>
      <c r="L57" s="86"/>
    </row>
    <row r="58" spans="1:13" ht="31.5" x14ac:dyDescent="0.15">
      <c r="A58" s="90" t="s">
        <v>551</v>
      </c>
      <c r="B58" s="22" t="s">
        <v>356</v>
      </c>
      <c r="C58" s="19" t="s">
        <v>10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f t="shared" si="0"/>
        <v>0</v>
      </c>
      <c r="K58" s="60">
        <f t="shared" si="1"/>
        <v>0</v>
      </c>
      <c r="L58" s="86"/>
    </row>
    <row r="59" spans="1:13" ht="15.75" x14ac:dyDescent="0.15">
      <c r="A59" s="21" t="s">
        <v>550</v>
      </c>
      <c r="B59" s="20" t="s">
        <v>13</v>
      </c>
      <c r="C59" s="19" t="s">
        <v>10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f t="shared" si="0"/>
        <v>0</v>
      </c>
      <c r="K59" s="60">
        <f t="shared" si="1"/>
        <v>0</v>
      </c>
      <c r="L59" s="86"/>
    </row>
    <row r="60" spans="1:13" ht="15.75" x14ac:dyDescent="0.15">
      <c r="A60" s="21" t="s">
        <v>549</v>
      </c>
      <c r="B60" s="20" t="s">
        <v>11</v>
      </c>
      <c r="C60" s="19" t="s">
        <v>10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f t="shared" si="0"/>
        <v>0</v>
      </c>
      <c r="K60" s="60">
        <f t="shared" si="1"/>
        <v>0</v>
      </c>
      <c r="L60" s="86"/>
    </row>
    <row r="61" spans="1:13" ht="15.75" x14ac:dyDescent="0.25">
      <c r="A61" s="90" t="s">
        <v>548</v>
      </c>
      <c r="B61" s="22" t="s">
        <v>346</v>
      </c>
      <c r="C61" s="19" t="s">
        <v>10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f t="shared" si="0"/>
        <v>0</v>
      </c>
      <c r="K61" s="60">
        <f t="shared" si="1"/>
        <v>0</v>
      </c>
      <c r="L61" s="86"/>
      <c r="M61" s="64"/>
    </row>
    <row r="62" spans="1:13" s="54" customFormat="1" ht="15.75" x14ac:dyDescent="0.25">
      <c r="A62" s="88" t="s">
        <v>547</v>
      </c>
      <c r="B62" s="113" t="s">
        <v>546</v>
      </c>
      <c r="C62" s="88" t="s">
        <v>10</v>
      </c>
      <c r="D62" s="87">
        <v>368.45258099999995</v>
      </c>
      <c r="E62" s="87">
        <f>+E63+E64+E69+E70</f>
        <v>190.91</v>
      </c>
      <c r="F62" s="87">
        <v>626.09702587841571</v>
      </c>
      <c r="G62" s="87">
        <f>+G63+G64+G69+G70</f>
        <v>272.76000000000005</v>
      </c>
      <c r="H62" s="87">
        <v>643.38982573317753</v>
      </c>
      <c r="I62" s="87">
        <f>+I63+I64+I69+I70</f>
        <v>826.70999999999992</v>
      </c>
      <c r="J62" s="87">
        <f t="shared" ref="J62:J93" si="2">+D62+F62+H62</f>
        <v>1637.9394326115932</v>
      </c>
      <c r="K62" s="87">
        <f t="shared" ref="K62:K93" si="3">+E62+G62+I62</f>
        <v>1290.3800000000001</v>
      </c>
      <c r="L62" s="83"/>
    </row>
    <row r="63" spans="1:13" ht="15.75" x14ac:dyDescent="0.25">
      <c r="A63" s="21" t="s">
        <v>545</v>
      </c>
      <c r="B63" s="61" t="s">
        <v>544</v>
      </c>
      <c r="C63" s="19" t="s">
        <v>10</v>
      </c>
      <c r="D63" s="60">
        <v>0.79067999999999994</v>
      </c>
      <c r="E63" s="60">
        <v>0</v>
      </c>
      <c r="F63" s="60">
        <v>1.5535993624182431</v>
      </c>
      <c r="G63" s="60">
        <v>0</v>
      </c>
      <c r="H63" s="60">
        <v>1.5964902266082348</v>
      </c>
      <c r="I63" s="60">
        <v>0</v>
      </c>
      <c r="J63" s="60">
        <f t="shared" si="2"/>
        <v>3.9407695890264778</v>
      </c>
      <c r="K63" s="60">
        <f t="shared" si="3"/>
        <v>0</v>
      </c>
      <c r="L63" s="86"/>
      <c r="M63" s="64"/>
    </row>
    <row r="64" spans="1:13" ht="15.75" x14ac:dyDescent="0.15">
      <c r="A64" s="21" t="s">
        <v>543</v>
      </c>
      <c r="B64" s="61" t="s">
        <v>542</v>
      </c>
      <c r="C64" s="19" t="s">
        <v>10</v>
      </c>
      <c r="D64" s="60">
        <v>367.18550099999999</v>
      </c>
      <c r="E64" s="60">
        <f>+E66</f>
        <v>190.67</v>
      </c>
      <c r="F64" s="60">
        <v>623.60737851726969</v>
      </c>
      <c r="G64" s="60">
        <f>+G66</f>
        <v>272.47000000000003</v>
      </c>
      <c r="H64" s="60">
        <v>640.83141431191666</v>
      </c>
      <c r="I64" s="60">
        <f>+I66</f>
        <v>825.06</v>
      </c>
      <c r="J64" s="60">
        <f t="shared" si="2"/>
        <v>1631.6242938291864</v>
      </c>
      <c r="K64" s="60">
        <f t="shared" si="3"/>
        <v>1288.1999999999998</v>
      </c>
      <c r="L64" s="86"/>
    </row>
    <row r="65" spans="1:13" ht="15.75" x14ac:dyDescent="0.15">
      <c r="A65" s="19" t="s">
        <v>541</v>
      </c>
      <c r="B65" s="114" t="s">
        <v>540</v>
      </c>
      <c r="C65" s="19" t="s">
        <v>10</v>
      </c>
      <c r="D65" s="85">
        <v>367.18550099999999</v>
      </c>
      <c r="E65" s="85">
        <f>+E66</f>
        <v>190.67</v>
      </c>
      <c r="F65" s="85">
        <v>623.60737851726969</v>
      </c>
      <c r="G65" s="85">
        <f>+G66</f>
        <v>272.47000000000003</v>
      </c>
      <c r="H65" s="85">
        <v>640.83141431191666</v>
      </c>
      <c r="I65" s="85">
        <f>+I66</f>
        <v>825.06</v>
      </c>
      <c r="J65" s="85">
        <f t="shared" si="2"/>
        <v>1631.6242938291864</v>
      </c>
      <c r="K65" s="85">
        <f t="shared" si="3"/>
        <v>1288.1999999999998</v>
      </c>
      <c r="L65" s="86"/>
    </row>
    <row r="66" spans="1:13" ht="15.75" x14ac:dyDescent="0.25">
      <c r="A66" s="19" t="s">
        <v>539</v>
      </c>
      <c r="B66" s="115" t="s">
        <v>538</v>
      </c>
      <c r="C66" s="19" t="s">
        <v>10</v>
      </c>
      <c r="D66" s="60">
        <v>367.18550099999999</v>
      </c>
      <c r="E66" s="60">
        <v>190.67</v>
      </c>
      <c r="F66" s="60">
        <v>623.60737851726969</v>
      </c>
      <c r="G66" s="60">
        <v>272.47000000000003</v>
      </c>
      <c r="H66" s="60">
        <v>640.83141431191666</v>
      </c>
      <c r="I66" s="60">
        <v>825.06</v>
      </c>
      <c r="J66" s="60">
        <f t="shared" si="2"/>
        <v>1631.6242938291864</v>
      </c>
      <c r="K66" s="60">
        <f t="shared" si="3"/>
        <v>1288.1999999999998</v>
      </c>
      <c r="L66" s="86"/>
      <c r="M66" s="64"/>
    </row>
    <row r="67" spans="1:13" ht="15.75" x14ac:dyDescent="0.15">
      <c r="A67" s="19" t="s">
        <v>537</v>
      </c>
      <c r="B67" s="115" t="s">
        <v>536</v>
      </c>
      <c r="C67" s="19" t="s">
        <v>10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f t="shared" si="2"/>
        <v>0</v>
      </c>
      <c r="K67" s="60">
        <f t="shared" si="3"/>
        <v>0</v>
      </c>
      <c r="L67" s="86"/>
    </row>
    <row r="68" spans="1:13" ht="15.75" x14ac:dyDescent="0.15">
      <c r="A68" s="19" t="s">
        <v>535</v>
      </c>
      <c r="B68" s="114" t="s">
        <v>534</v>
      </c>
      <c r="C68" s="19" t="s">
        <v>10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f t="shared" si="2"/>
        <v>0</v>
      </c>
      <c r="K68" s="60">
        <f t="shared" si="3"/>
        <v>0</v>
      </c>
      <c r="L68" s="86"/>
    </row>
    <row r="69" spans="1:13" ht="15.75" x14ac:dyDescent="0.25">
      <c r="A69" s="21" t="s">
        <v>533</v>
      </c>
      <c r="B69" s="61" t="s">
        <v>532</v>
      </c>
      <c r="C69" s="19" t="s">
        <v>10</v>
      </c>
      <c r="D69" s="60">
        <v>3.1710000000000002E-2</v>
      </c>
      <c r="E69" s="60">
        <v>0</v>
      </c>
      <c r="F69" s="60">
        <v>6.2289999999999998E-2</v>
      </c>
      <c r="G69" s="60">
        <v>0</v>
      </c>
      <c r="H69" s="60">
        <v>6.4030000000000004E-2</v>
      </c>
      <c r="I69" s="60">
        <v>0</v>
      </c>
      <c r="J69" s="60">
        <f t="shared" si="2"/>
        <v>0.15803</v>
      </c>
      <c r="K69" s="60">
        <f t="shared" si="3"/>
        <v>0</v>
      </c>
      <c r="L69" s="86"/>
      <c r="M69" s="64"/>
    </row>
    <row r="70" spans="1:13" s="64" customFormat="1" ht="15.75" x14ac:dyDescent="0.25">
      <c r="A70" s="21" t="s">
        <v>531</v>
      </c>
      <c r="B70" s="61" t="s">
        <v>530</v>
      </c>
      <c r="C70" s="19" t="s">
        <v>10</v>
      </c>
      <c r="D70" s="85">
        <v>0.44468999999999997</v>
      </c>
      <c r="E70" s="85">
        <f>0.24</f>
        <v>0.24</v>
      </c>
      <c r="F70" s="85">
        <v>0.8737579987278159</v>
      </c>
      <c r="G70" s="85">
        <v>0.28999999999999998</v>
      </c>
      <c r="H70" s="85">
        <v>0.89789119465267808</v>
      </c>
      <c r="I70" s="85">
        <v>1.65</v>
      </c>
      <c r="J70" s="85">
        <f t="shared" si="2"/>
        <v>2.2163391933804939</v>
      </c>
      <c r="K70" s="85">
        <f t="shared" si="3"/>
        <v>2.1799999999999997</v>
      </c>
      <c r="L70" s="86"/>
    </row>
    <row r="71" spans="1:13" s="54" customFormat="1" ht="15.75" x14ac:dyDescent="0.25">
      <c r="A71" s="88" t="s">
        <v>529</v>
      </c>
      <c r="B71" s="113" t="s">
        <v>528</v>
      </c>
      <c r="C71" s="88" t="s">
        <v>10</v>
      </c>
      <c r="D71" s="87">
        <v>21.019059999999996</v>
      </c>
      <c r="E71" s="87">
        <f>+E72+E73+E74+E75+E76</f>
        <v>9458.35</v>
      </c>
      <c r="F71" s="87">
        <v>189.34816848181711</v>
      </c>
      <c r="G71" s="87">
        <f>+G72+G73+G74+G75+G76</f>
        <v>8559.91</v>
      </c>
      <c r="H71" s="87">
        <v>194.57500668100548</v>
      </c>
      <c r="I71" s="87">
        <f>+I72+I73+I74+I75+I76</f>
        <v>9152.1050399999986</v>
      </c>
      <c r="J71" s="87">
        <f t="shared" si="2"/>
        <v>404.94223516282261</v>
      </c>
      <c r="K71" s="87">
        <f t="shared" si="3"/>
        <v>27170.365040000001</v>
      </c>
      <c r="L71" s="86"/>
    </row>
    <row r="72" spans="1:13" s="64" customFormat="1" ht="31.5" x14ac:dyDescent="0.25">
      <c r="A72" s="21" t="s">
        <v>527</v>
      </c>
      <c r="B72" s="20" t="s">
        <v>526</v>
      </c>
      <c r="C72" s="19" t="s">
        <v>10</v>
      </c>
      <c r="D72" s="85">
        <v>0</v>
      </c>
      <c r="E72" s="85">
        <v>92.22</v>
      </c>
      <c r="F72" s="85">
        <v>148.04845002459999</v>
      </c>
      <c r="G72" s="85">
        <v>457.48</v>
      </c>
      <c r="H72" s="85">
        <v>152.13459</v>
      </c>
      <c r="I72" s="85">
        <v>571.4</v>
      </c>
      <c r="J72" s="85">
        <f t="shared" si="2"/>
        <v>300.18304002460002</v>
      </c>
      <c r="K72" s="85">
        <f t="shared" si="3"/>
        <v>1121.0999999999999</v>
      </c>
      <c r="L72" s="86"/>
    </row>
    <row r="73" spans="1:13" s="64" customFormat="1" ht="31.5" x14ac:dyDescent="0.25">
      <c r="A73" s="21" t="s">
        <v>525</v>
      </c>
      <c r="B73" s="20" t="s">
        <v>524</v>
      </c>
      <c r="C73" s="19" t="s">
        <v>10</v>
      </c>
      <c r="D73" s="85">
        <v>0</v>
      </c>
      <c r="E73" s="85">
        <v>9192.69</v>
      </c>
      <c r="F73" s="85">
        <v>0</v>
      </c>
      <c r="G73" s="85">
        <v>7629.36</v>
      </c>
      <c r="H73" s="85">
        <v>0</v>
      </c>
      <c r="I73" s="85">
        <f>+G73*1.039</f>
        <v>7926.9050399999987</v>
      </c>
      <c r="J73" s="85">
        <f t="shared" si="2"/>
        <v>0</v>
      </c>
      <c r="K73" s="85">
        <f t="shared" si="3"/>
        <v>24748.955039999997</v>
      </c>
      <c r="L73" s="86"/>
    </row>
    <row r="74" spans="1:13" s="64" customFormat="1" ht="15.75" x14ac:dyDescent="0.25">
      <c r="A74" s="21" t="s">
        <v>523</v>
      </c>
      <c r="B74" s="20" t="s">
        <v>522</v>
      </c>
      <c r="C74" s="19" t="s">
        <v>10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f t="shared" si="2"/>
        <v>0</v>
      </c>
      <c r="K74" s="85">
        <f t="shared" si="3"/>
        <v>0</v>
      </c>
      <c r="L74" s="86"/>
    </row>
    <row r="75" spans="1:13" s="64" customFormat="1" ht="15.75" x14ac:dyDescent="0.25">
      <c r="A75" s="21" t="s">
        <v>521</v>
      </c>
      <c r="B75" s="20" t="s">
        <v>520</v>
      </c>
      <c r="C75" s="19" t="s">
        <v>10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f t="shared" si="2"/>
        <v>0</v>
      </c>
      <c r="K75" s="85">
        <f t="shared" si="3"/>
        <v>0</v>
      </c>
      <c r="L75" s="86"/>
    </row>
    <row r="76" spans="1:13" s="64" customFormat="1" ht="15.75" x14ac:dyDescent="0.25">
      <c r="A76" s="21" t="s">
        <v>519</v>
      </c>
      <c r="B76" s="20" t="s">
        <v>518</v>
      </c>
      <c r="C76" s="19" t="s">
        <v>10</v>
      </c>
      <c r="D76" s="85">
        <v>21.019059999999996</v>
      </c>
      <c r="E76" s="85">
        <f>91.08+82.36</f>
        <v>173.44</v>
      </c>
      <c r="F76" s="85">
        <v>41.299718457217132</v>
      </c>
      <c r="G76" s="85">
        <f>8559.91-G73-G72</f>
        <v>473.07000000000016</v>
      </c>
      <c r="H76" s="85">
        <v>42.440416681005473</v>
      </c>
      <c r="I76" s="85">
        <v>653.79999999999995</v>
      </c>
      <c r="J76" s="85">
        <f t="shared" si="2"/>
        <v>104.75919513822259</v>
      </c>
      <c r="K76" s="85">
        <f t="shared" si="3"/>
        <v>1300.3100000000002</v>
      </c>
      <c r="L76" s="86"/>
    </row>
    <row r="77" spans="1:13" s="54" customFormat="1" ht="15.75" x14ac:dyDescent="0.25">
      <c r="A77" s="88" t="s">
        <v>517</v>
      </c>
      <c r="B77" s="89" t="s">
        <v>516</v>
      </c>
      <c r="C77" s="88" t="s">
        <v>10</v>
      </c>
      <c r="D77" s="87">
        <v>49.77617</v>
      </c>
      <c r="E77" s="87">
        <f>13.51+3.71+52.66/1000+14.46/1000</f>
        <v>17.287119999999998</v>
      </c>
      <c r="F77" s="87">
        <v>96.399106997746046</v>
      </c>
      <c r="G77" s="87">
        <f>36249.95*1.304/1000</f>
        <v>47.269934799999994</v>
      </c>
      <c r="H77" s="87">
        <v>100.42906326152131</v>
      </c>
      <c r="I77" s="87">
        <f>(12*95*I378)/1000*1.0304</f>
        <v>244.32844800000001</v>
      </c>
      <c r="J77" s="87">
        <f t="shared" si="2"/>
        <v>246.60434025926736</v>
      </c>
      <c r="K77" s="87">
        <f t="shared" si="3"/>
        <v>308.88550279999998</v>
      </c>
      <c r="L77" s="86"/>
    </row>
    <row r="78" spans="1:13" s="54" customFormat="1" ht="15.75" x14ac:dyDescent="0.25">
      <c r="A78" s="88" t="s">
        <v>515</v>
      </c>
      <c r="B78" s="89" t="s">
        <v>514</v>
      </c>
      <c r="C78" s="88" t="s">
        <v>10</v>
      </c>
      <c r="D78" s="87">
        <v>0</v>
      </c>
      <c r="E78" s="87">
        <f>1.6/1000</f>
        <v>1.6000000000000001E-3</v>
      </c>
      <c r="F78" s="87">
        <v>9.0145</v>
      </c>
      <c r="G78" s="87">
        <f>1.6/1000</f>
        <v>1.6000000000000001E-3</v>
      </c>
      <c r="H78" s="87">
        <v>190.64842999999999</v>
      </c>
      <c r="I78" s="87">
        <f>1.6/1000</f>
        <v>1.6000000000000001E-3</v>
      </c>
      <c r="J78" s="87">
        <f t="shared" si="2"/>
        <v>199.66292999999999</v>
      </c>
      <c r="K78" s="87">
        <f t="shared" si="3"/>
        <v>4.8000000000000004E-3</v>
      </c>
      <c r="L78" s="86"/>
    </row>
    <row r="79" spans="1:13" s="54" customFormat="1" ht="15.75" x14ac:dyDescent="0.25">
      <c r="A79" s="88" t="s">
        <v>513</v>
      </c>
      <c r="B79" s="89" t="s">
        <v>512</v>
      </c>
      <c r="C79" s="88" t="s">
        <v>10</v>
      </c>
      <c r="D79" s="87">
        <v>0</v>
      </c>
      <c r="E79" s="87">
        <f>+E80+E81</f>
        <v>2.0999999999999999E-3</v>
      </c>
      <c r="F79" s="87">
        <v>1.8088307500000003</v>
      </c>
      <c r="G79" s="87">
        <f>+G80+G81</f>
        <v>2.0999999999999999E-3</v>
      </c>
      <c r="H79" s="87">
        <v>27.328469999999999</v>
      </c>
      <c r="I79" s="87">
        <f>+I80+I81</f>
        <v>2.84</v>
      </c>
      <c r="J79" s="87">
        <f t="shared" si="2"/>
        <v>29.137300750000001</v>
      </c>
      <c r="K79" s="87">
        <f t="shared" si="3"/>
        <v>2.8441999999999998</v>
      </c>
      <c r="L79" s="83"/>
    </row>
    <row r="80" spans="1:13" s="64" customFormat="1" ht="15.75" x14ac:dyDescent="0.25">
      <c r="A80" s="21" t="s">
        <v>511</v>
      </c>
      <c r="B80" s="20" t="s">
        <v>319</v>
      </c>
      <c r="C80" s="19" t="s">
        <v>10</v>
      </c>
      <c r="D80" s="85">
        <v>0</v>
      </c>
      <c r="E80" s="85">
        <f>1.5/1000</f>
        <v>1.5E-3</v>
      </c>
      <c r="F80" s="85">
        <v>1.4197837500000001</v>
      </c>
      <c r="G80" s="85">
        <f>1.5/1000</f>
        <v>1.5E-3</v>
      </c>
      <c r="H80" s="85">
        <v>26.939419999999998</v>
      </c>
      <c r="I80" s="85">
        <v>2.2999999999999998</v>
      </c>
      <c r="J80" s="85">
        <f t="shared" si="2"/>
        <v>28.359203749999999</v>
      </c>
      <c r="K80" s="85">
        <f t="shared" si="3"/>
        <v>2.3029999999999999</v>
      </c>
      <c r="L80" s="83"/>
    </row>
    <row r="81" spans="1:13" ht="15.75" x14ac:dyDescent="0.25">
      <c r="A81" s="21" t="s">
        <v>510</v>
      </c>
      <c r="B81" s="20" t="s">
        <v>317</v>
      </c>
      <c r="C81" s="19" t="s">
        <v>10</v>
      </c>
      <c r="D81" s="85">
        <v>0</v>
      </c>
      <c r="E81" s="85">
        <f>0.6/1000</f>
        <v>5.9999999999999995E-4</v>
      </c>
      <c r="F81" s="85">
        <v>0.38904700000000003</v>
      </c>
      <c r="G81" s="85">
        <f>0.6/1000</f>
        <v>5.9999999999999995E-4</v>
      </c>
      <c r="H81" s="85">
        <v>0.38905000000000001</v>
      </c>
      <c r="I81" s="85">
        <v>0.54</v>
      </c>
      <c r="J81" s="85">
        <f t="shared" si="2"/>
        <v>0.77809700000000004</v>
      </c>
      <c r="K81" s="85">
        <f t="shared" si="3"/>
        <v>0.54120000000000001</v>
      </c>
      <c r="L81" s="83"/>
      <c r="M81" s="64"/>
    </row>
    <row r="82" spans="1:13" s="54" customFormat="1" ht="15.75" x14ac:dyDescent="0.25">
      <c r="A82" s="88" t="s">
        <v>509</v>
      </c>
      <c r="B82" s="89" t="s">
        <v>464</v>
      </c>
      <c r="C82" s="88" t="s">
        <v>10</v>
      </c>
      <c r="D82" s="87">
        <v>34.946840000000002</v>
      </c>
      <c r="E82" s="87">
        <f>+E83+E84+E85</f>
        <v>37.18</v>
      </c>
      <c r="F82" s="87">
        <v>69.277178243767992</v>
      </c>
      <c r="G82" s="87">
        <f>+G83+G84+G85</f>
        <v>63.269934799998616</v>
      </c>
      <c r="H82" s="87">
        <v>71.19059900478085</v>
      </c>
      <c r="I82" s="87">
        <f>+I83+I84+I85</f>
        <v>74.87</v>
      </c>
      <c r="J82" s="87">
        <f t="shared" si="2"/>
        <v>175.41461724854884</v>
      </c>
      <c r="K82" s="87">
        <f t="shared" si="3"/>
        <v>175.31993479999863</v>
      </c>
      <c r="L82" s="83"/>
    </row>
    <row r="83" spans="1:13" ht="15.75" x14ac:dyDescent="0.25">
      <c r="A83" s="21" t="s">
        <v>508</v>
      </c>
      <c r="B83" s="20" t="s">
        <v>507</v>
      </c>
      <c r="C83" s="19" t="s">
        <v>10</v>
      </c>
      <c r="D83" s="85">
        <v>0</v>
      </c>
      <c r="E83" s="85">
        <v>35.33</v>
      </c>
      <c r="F83" s="85">
        <v>0</v>
      </c>
      <c r="G83" s="85">
        <v>46.53</v>
      </c>
      <c r="H83" s="85">
        <v>0</v>
      </c>
      <c r="I83" s="85">
        <v>56.45</v>
      </c>
      <c r="J83" s="85">
        <f t="shared" si="2"/>
        <v>0</v>
      </c>
      <c r="K83" s="85">
        <f t="shared" si="3"/>
        <v>138.31</v>
      </c>
      <c r="L83" s="86"/>
      <c r="M83" s="64"/>
    </row>
    <row r="84" spans="1:13" ht="15.75" x14ac:dyDescent="0.15">
      <c r="A84" s="21" t="s">
        <v>506</v>
      </c>
      <c r="B84" s="20" t="s">
        <v>505</v>
      </c>
      <c r="C84" s="19" t="s">
        <v>10</v>
      </c>
      <c r="D84" s="85">
        <v>0.3075</v>
      </c>
      <c r="E84" s="85">
        <f>0.36+0.25</f>
        <v>0.61</v>
      </c>
      <c r="F84" s="85">
        <v>1.2153814962531277</v>
      </c>
      <c r="G84" s="85">
        <v>12.87</v>
      </c>
      <c r="H84" s="85">
        <v>1.2489354310996392</v>
      </c>
      <c r="I84" s="85">
        <v>12.87</v>
      </c>
      <c r="J84" s="85">
        <f t="shared" si="2"/>
        <v>2.7718169273527673</v>
      </c>
      <c r="K84" s="85">
        <f t="shared" si="3"/>
        <v>26.349999999999998</v>
      </c>
      <c r="L84" s="86"/>
    </row>
    <row r="85" spans="1:13" s="64" customFormat="1" ht="15.75" x14ac:dyDescent="0.25">
      <c r="A85" s="32" t="s">
        <v>504</v>
      </c>
      <c r="B85" s="36" t="s">
        <v>503</v>
      </c>
      <c r="C85" s="30" t="s">
        <v>10</v>
      </c>
      <c r="D85" s="85">
        <v>34.639340000000004</v>
      </c>
      <c r="E85" s="85">
        <f>1.09+0.14+0.01</f>
        <v>1.24</v>
      </c>
      <c r="F85" s="85">
        <v>68.061796747514862</v>
      </c>
      <c r="G85" s="85">
        <f>8922.24-27.1+G77-G83-G84-G71-G62-46.47</f>
        <v>3.8699347999986173</v>
      </c>
      <c r="H85" s="85">
        <v>69.941663573681211</v>
      </c>
      <c r="I85" s="85">
        <v>5.55</v>
      </c>
      <c r="J85" s="85">
        <f t="shared" si="2"/>
        <v>172.64280032119609</v>
      </c>
      <c r="K85" s="85">
        <f t="shared" si="3"/>
        <v>10.659934799998616</v>
      </c>
      <c r="L85" s="84"/>
    </row>
    <row r="86" spans="1:13" s="54" customFormat="1" ht="15.75" x14ac:dyDescent="0.25">
      <c r="A86" s="13" t="s">
        <v>502</v>
      </c>
      <c r="B86" s="44" t="s">
        <v>209</v>
      </c>
      <c r="C86" s="13" t="s">
        <v>10</v>
      </c>
      <c r="D86" s="43">
        <v>16.438229999999997</v>
      </c>
      <c r="E86" s="43">
        <f>+E87+E88+E89</f>
        <v>101.6</v>
      </c>
      <c r="F86" s="43">
        <v>32.298983443359525</v>
      </c>
      <c r="G86" s="43">
        <f>+G87+G88+G89</f>
        <v>495.32593480000003</v>
      </c>
      <c r="H86" s="43">
        <v>33.191081366065113</v>
      </c>
      <c r="I86" s="43">
        <f>+I87+I88+I89</f>
        <v>903.72844799999996</v>
      </c>
      <c r="J86" s="43">
        <f t="shared" si="2"/>
        <v>81.928294809424642</v>
      </c>
      <c r="K86" s="43">
        <f t="shared" si="3"/>
        <v>1500.6543827999999</v>
      </c>
      <c r="L86" s="83"/>
    </row>
    <row r="87" spans="1:13" ht="15.75" x14ac:dyDescent="0.25">
      <c r="A87" s="32" t="s">
        <v>501</v>
      </c>
      <c r="B87" s="36" t="s">
        <v>500</v>
      </c>
      <c r="C87" s="30" t="s">
        <v>10</v>
      </c>
      <c r="D87" s="18">
        <v>12.821399999999999</v>
      </c>
      <c r="E87" s="18">
        <v>82.36</v>
      </c>
      <c r="F87" s="18">
        <v>25.192383019381637</v>
      </c>
      <c r="G87" s="18">
        <v>449.41</v>
      </c>
      <c r="H87" s="18">
        <v>25.888196638376957</v>
      </c>
      <c r="I87" s="18">
        <v>632.29999999999995</v>
      </c>
      <c r="J87" s="18">
        <f t="shared" si="2"/>
        <v>63.901979657758588</v>
      </c>
      <c r="K87" s="18">
        <f t="shared" si="3"/>
        <v>1164.07</v>
      </c>
      <c r="L87" s="17"/>
      <c r="M87" s="64"/>
    </row>
    <row r="88" spans="1:13" ht="15.75" x14ac:dyDescent="0.15">
      <c r="A88" s="32" t="s">
        <v>499</v>
      </c>
      <c r="B88" s="36" t="s">
        <v>498</v>
      </c>
      <c r="C88" s="30" t="s">
        <v>10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f t="shared" si="2"/>
        <v>0</v>
      </c>
      <c r="K88" s="18">
        <f t="shared" si="3"/>
        <v>0</v>
      </c>
      <c r="L88" s="17"/>
    </row>
    <row r="89" spans="1:13" ht="15.75" x14ac:dyDescent="0.25">
      <c r="A89" s="32" t="s">
        <v>497</v>
      </c>
      <c r="B89" s="36" t="s">
        <v>496</v>
      </c>
      <c r="C89" s="30" t="s">
        <v>10</v>
      </c>
      <c r="D89" s="18">
        <v>3.6168299999999998</v>
      </c>
      <c r="E89" s="18">
        <v>19.239999999999998</v>
      </c>
      <c r="F89" s="18">
        <v>7.1066004239778877</v>
      </c>
      <c r="G89" s="18">
        <f>19.246-27.1+G77+6.5</f>
        <v>45.915934799999988</v>
      </c>
      <c r="H89" s="18">
        <v>7.3028847276881557</v>
      </c>
      <c r="I89" s="18">
        <f>27.1+I77</f>
        <v>271.428448</v>
      </c>
      <c r="J89" s="18">
        <f t="shared" si="2"/>
        <v>18.026315151666044</v>
      </c>
      <c r="K89" s="18">
        <f t="shared" si="3"/>
        <v>336.58438279999996</v>
      </c>
      <c r="L89" s="17"/>
      <c r="M89" s="64"/>
    </row>
    <row r="90" spans="1:13" s="54" customFormat="1" ht="15.75" x14ac:dyDescent="0.25">
      <c r="A90" s="13" t="s">
        <v>495</v>
      </c>
      <c r="B90" s="14" t="s">
        <v>494</v>
      </c>
      <c r="C90" s="13" t="s">
        <v>10</v>
      </c>
      <c r="D90" s="43">
        <v>0</v>
      </c>
      <c r="E90" s="43">
        <f>+E91+E95+E96+E97+E98+E99+E100+E101+E104</f>
        <v>-3249.7351200000003</v>
      </c>
      <c r="F90" s="43">
        <v>29.45447500000023</v>
      </c>
      <c r="G90" s="43">
        <f>+G91+G95+G96+G97+G98+G99+G100+G101+G104</f>
        <v>-1115.2035695999984</v>
      </c>
      <c r="H90" s="43">
        <v>65.189312500000142</v>
      </c>
      <c r="I90" s="43">
        <f>+I91+I95+I96+I97+I98+I99+I100+I101+I104</f>
        <v>-2167.5526979999986</v>
      </c>
      <c r="J90" s="43">
        <f t="shared" si="2"/>
        <v>94.643787500000371</v>
      </c>
      <c r="K90" s="43">
        <f t="shared" si="3"/>
        <v>-6532.4913875999973</v>
      </c>
      <c r="L90" s="42"/>
    </row>
    <row r="91" spans="1:13" ht="15.75" x14ac:dyDescent="0.15">
      <c r="A91" s="75" t="s">
        <v>493</v>
      </c>
      <c r="B91" s="31" t="s">
        <v>373</v>
      </c>
      <c r="C91" s="30" t="s">
        <v>10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f t="shared" si="2"/>
        <v>0</v>
      </c>
      <c r="K91" s="18">
        <f t="shared" si="3"/>
        <v>0</v>
      </c>
      <c r="L91" s="17"/>
    </row>
    <row r="92" spans="1:13" ht="31.5" x14ac:dyDescent="0.15">
      <c r="A92" s="32" t="s">
        <v>492</v>
      </c>
      <c r="B92" s="36" t="s">
        <v>202</v>
      </c>
      <c r="C92" s="30" t="s">
        <v>10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f t="shared" si="2"/>
        <v>0</v>
      </c>
      <c r="K92" s="18">
        <f t="shared" si="3"/>
        <v>0</v>
      </c>
      <c r="L92" s="17"/>
    </row>
    <row r="93" spans="1:13" ht="31.5" x14ac:dyDescent="0.15">
      <c r="A93" s="32" t="s">
        <v>491</v>
      </c>
      <c r="B93" s="36" t="s">
        <v>199</v>
      </c>
      <c r="C93" s="30" t="s">
        <v>10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f t="shared" si="2"/>
        <v>0</v>
      </c>
      <c r="K93" s="18">
        <f t="shared" si="3"/>
        <v>0</v>
      </c>
      <c r="L93" s="17"/>
    </row>
    <row r="94" spans="1:13" ht="31.5" x14ac:dyDescent="0.15">
      <c r="A94" s="32" t="s">
        <v>490</v>
      </c>
      <c r="B94" s="36" t="s">
        <v>196</v>
      </c>
      <c r="C94" s="30" t="s">
        <v>10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f t="shared" ref="J94:J125" si="4">+D94+F94+H94</f>
        <v>0</v>
      </c>
      <c r="K94" s="18">
        <f t="shared" ref="K94:K125" si="5">+E94+G94+I94</f>
        <v>0</v>
      </c>
      <c r="L94" s="17"/>
    </row>
    <row r="95" spans="1:13" ht="15.75" x14ac:dyDescent="0.15">
      <c r="A95" s="75" t="s">
        <v>489</v>
      </c>
      <c r="B95" s="31" t="s">
        <v>368</v>
      </c>
      <c r="C95" s="30" t="s">
        <v>10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f t="shared" si="4"/>
        <v>0</v>
      </c>
      <c r="K95" s="18">
        <f t="shared" si="5"/>
        <v>0</v>
      </c>
      <c r="L95" s="17"/>
    </row>
    <row r="96" spans="1:13" ht="15.75" x14ac:dyDescent="0.15">
      <c r="A96" s="75" t="s">
        <v>488</v>
      </c>
      <c r="B96" s="31" t="s">
        <v>366</v>
      </c>
      <c r="C96" s="30" t="s">
        <v>10</v>
      </c>
      <c r="D96" s="18">
        <v>0</v>
      </c>
      <c r="E96" s="18">
        <f>+E36-E53</f>
        <v>-3249.7351200000003</v>
      </c>
      <c r="F96" s="18">
        <v>29.45447500000023</v>
      </c>
      <c r="G96" s="18">
        <f>+G36-G53</f>
        <v>-1115.2035695999984</v>
      </c>
      <c r="H96" s="18">
        <v>65.189312500000142</v>
      </c>
      <c r="I96" s="18">
        <f>+I36-I53</f>
        <v>-2167.5526979999986</v>
      </c>
      <c r="J96" s="18">
        <f t="shared" si="4"/>
        <v>94.643787500000371</v>
      </c>
      <c r="K96" s="18">
        <f t="shared" si="5"/>
        <v>-6532.4913875999973</v>
      </c>
      <c r="L96" s="17"/>
    </row>
    <row r="97" spans="1:13" ht="15.75" x14ac:dyDescent="0.15">
      <c r="A97" s="75" t="s">
        <v>487</v>
      </c>
      <c r="B97" s="31" t="s">
        <v>364</v>
      </c>
      <c r="C97" s="30" t="s">
        <v>10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f t="shared" si="4"/>
        <v>0</v>
      </c>
      <c r="K97" s="18">
        <f t="shared" si="5"/>
        <v>0</v>
      </c>
      <c r="L97" s="17"/>
    </row>
    <row r="98" spans="1:13" ht="15.75" x14ac:dyDescent="0.15">
      <c r="A98" s="75" t="s">
        <v>486</v>
      </c>
      <c r="B98" s="31" t="s">
        <v>362</v>
      </c>
      <c r="C98" s="30" t="s">
        <v>10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f t="shared" si="4"/>
        <v>0</v>
      </c>
      <c r="K98" s="18">
        <f t="shared" si="5"/>
        <v>0</v>
      </c>
      <c r="L98" s="17"/>
    </row>
    <row r="99" spans="1:13" ht="15.75" x14ac:dyDescent="0.15">
      <c r="A99" s="75" t="s">
        <v>485</v>
      </c>
      <c r="B99" s="31" t="s">
        <v>360</v>
      </c>
      <c r="C99" s="30" t="s">
        <v>10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f t="shared" si="4"/>
        <v>0</v>
      </c>
      <c r="K99" s="18">
        <f t="shared" si="5"/>
        <v>0</v>
      </c>
      <c r="L99" s="17"/>
    </row>
    <row r="100" spans="1:13" ht="15.75" x14ac:dyDescent="0.15">
      <c r="A100" s="75" t="s">
        <v>484</v>
      </c>
      <c r="B100" s="31" t="s">
        <v>483</v>
      </c>
      <c r="C100" s="30" t="s">
        <v>10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f t="shared" si="4"/>
        <v>0</v>
      </c>
      <c r="K100" s="18">
        <f t="shared" si="5"/>
        <v>0</v>
      </c>
      <c r="L100" s="17"/>
    </row>
    <row r="101" spans="1:13" ht="31.5" x14ac:dyDescent="0.15">
      <c r="A101" s="75" t="s">
        <v>482</v>
      </c>
      <c r="B101" s="31" t="s">
        <v>356</v>
      </c>
      <c r="C101" s="30" t="s">
        <v>10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f t="shared" si="4"/>
        <v>0</v>
      </c>
      <c r="K101" s="18">
        <f t="shared" si="5"/>
        <v>0</v>
      </c>
      <c r="L101" s="17"/>
    </row>
    <row r="102" spans="1:13" ht="15.75" x14ac:dyDescent="0.15">
      <c r="A102" s="32" t="s">
        <v>481</v>
      </c>
      <c r="B102" s="36" t="s">
        <v>13</v>
      </c>
      <c r="C102" s="30" t="s">
        <v>10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f t="shared" si="4"/>
        <v>0</v>
      </c>
      <c r="K102" s="18">
        <f t="shared" si="5"/>
        <v>0</v>
      </c>
      <c r="L102" s="17"/>
    </row>
    <row r="103" spans="1:13" ht="15.75" x14ac:dyDescent="0.15">
      <c r="A103" s="32" t="s">
        <v>480</v>
      </c>
      <c r="B103" s="36" t="s">
        <v>11</v>
      </c>
      <c r="C103" s="30" t="s">
        <v>10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f t="shared" si="4"/>
        <v>0</v>
      </c>
      <c r="K103" s="18">
        <f t="shared" si="5"/>
        <v>0</v>
      </c>
      <c r="L103" s="17"/>
    </row>
    <row r="104" spans="1:13" ht="15.75" x14ac:dyDescent="0.15">
      <c r="A104" s="75" t="s">
        <v>479</v>
      </c>
      <c r="B104" s="31" t="s">
        <v>346</v>
      </c>
      <c r="C104" s="30" t="s">
        <v>10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f t="shared" si="4"/>
        <v>0</v>
      </c>
      <c r="K104" s="18">
        <f t="shared" si="5"/>
        <v>0</v>
      </c>
      <c r="L104" s="17"/>
    </row>
    <row r="105" spans="1:13" s="54" customFormat="1" ht="15.75" x14ac:dyDescent="0.25">
      <c r="A105" s="13" t="s">
        <v>478</v>
      </c>
      <c r="B105" s="14" t="s">
        <v>477</v>
      </c>
      <c r="C105" s="13" t="s">
        <v>10</v>
      </c>
      <c r="D105" s="43">
        <v>0.66599999999999993</v>
      </c>
      <c r="E105" s="43">
        <f>+E106-E112</f>
        <v>3253.0786599999997</v>
      </c>
      <c r="F105" s="43">
        <v>1.2</v>
      </c>
      <c r="G105" s="43">
        <f>+G106-G112</f>
        <v>1144.6599999999999</v>
      </c>
      <c r="H105" s="43">
        <v>1.2</v>
      </c>
      <c r="I105" s="43">
        <f>+I106-I112</f>
        <v>2275.2901979999988</v>
      </c>
      <c r="J105" s="43">
        <f t="shared" si="4"/>
        <v>3.0659999999999998</v>
      </c>
      <c r="K105" s="43">
        <f t="shared" si="5"/>
        <v>6673.0288579999979</v>
      </c>
      <c r="L105" s="42"/>
    </row>
    <row r="106" spans="1:13" ht="15.75" x14ac:dyDescent="0.15">
      <c r="A106" s="82" t="s">
        <v>476</v>
      </c>
      <c r="B106" s="81" t="s">
        <v>475</v>
      </c>
      <c r="C106" s="80" t="s">
        <v>10</v>
      </c>
      <c r="D106" s="79">
        <v>1.2</v>
      </c>
      <c r="E106" s="79">
        <f>+E107+E108+E109+E111</f>
        <v>3256.2599999999998</v>
      </c>
      <c r="F106" s="79">
        <v>1.2</v>
      </c>
      <c r="G106" s="79">
        <f>+G107+G108+G109+G111</f>
        <v>1151.8599999999999</v>
      </c>
      <c r="H106" s="79">
        <v>1.2</v>
      </c>
      <c r="I106" s="79">
        <f>+I107+I108+I109+I111</f>
        <v>2284.9901979999986</v>
      </c>
      <c r="J106" s="79">
        <f t="shared" si="4"/>
        <v>3.5999999999999996</v>
      </c>
      <c r="K106" s="79">
        <f t="shared" si="5"/>
        <v>6693.1101979999985</v>
      </c>
      <c r="L106" s="78"/>
    </row>
    <row r="107" spans="1:13" ht="15.75" x14ac:dyDescent="0.15">
      <c r="A107" s="32" t="s">
        <v>474</v>
      </c>
      <c r="B107" s="36" t="s">
        <v>473</v>
      </c>
      <c r="C107" s="30" t="s">
        <v>10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f t="shared" si="4"/>
        <v>0</v>
      </c>
      <c r="K107" s="18">
        <f t="shared" si="5"/>
        <v>0</v>
      </c>
      <c r="L107" s="17"/>
    </row>
    <row r="108" spans="1:13" ht="15.75" x14ac:dyDescent="0.15">
      <c r="A108" s="32" t="s">
        <v>472</v>
      </c>
      <c r="B108" s="36" t="s">
        <v>471</v>
      </c>
      <c r="C108" s="30" t="s">
        <v>10</v>
      </c>
      <c r="D108" s="18">
        <v>1.2</v>
      </c>
      <c r="E108" s="18">
        <v>2.54</v>
      </c>
      <c r="F108" s="18">
        <v>1.2</v>
      </c>
      <c r="G108" s="18">
        <v>5</v>
      </c>
      <c r="H108" s="18">
        <v>1.2</v>
      </c>
      <c r="I108" s="18">
        <v>5</v>
      </c>
      <c r="J108" s="18">
        <f t="shared" si="4"/>
        <v>3.5999999999999996</v>
      </c>
      <c r="K108" s="18">
        <f t="shared" si="5"/>
        <v>12.54</v>
      </c>
      <c r="L108" s="17"/>
    </row>
    <row r="109" spans="1:13" ht="15.75" x14ac:dyDescent="0.15">
      <c r="A109" s="32" t="s">
        <v>470</v>
      </c>
      <c r="B109" s="36" t="s">
        <v>469</v>
      </c>
      <c r="C109" s="30" t="s">
        <v>10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f t="shared" si="4"/>
        <v>0</v>
      </c>
      <c r="K109" s="18">
        <f t="shared" si="5"/>
        <v>0</v>
      </c>
      <c r="L109" s="17"/>
    </row>
    <row r="110" spans="1:13" ht="15.75" x14ac:dyDescent="0.15">
      <c r="A110" s="30" t="s">
        <v>468</v>
      </c>
      <c r="B110" s="45" t="s">
        <v>456</v>
      </c>
      <c r="C110" s="30" t="s">
        <v>10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f t="shared" si="4"/>
        <v>0</v>
      </c>
      <c r="K110" s="18">
        <f t="shared" si="5"/>
        <v>0</v>
      </c>
      <c r="L110" s="17"/>
    </row>
    <row r="111" spans="1:13" ht="15.75" x14ac:dyDescent="0.25">
      <c r="A111" s="32" t="s">
        <v>467</v>
      </c>
      <c r="B111" s="36" t="s">
        <v>466</v>
      </c>
      <c r="C111" s="30" t="s">
        <v>10</v>
      </c>
      <c r="D111" s="18">
        <v>0</v>
      </c>
      <c r="E111" s="18">
        <f>3253.72</f>
        <v>3253.72</v>
      </c>
      <c r="F111" s="18">
        <v>0</v>
      </c>
      <c r="G111" s="18">
        <v>1146.8599999999999</v>
      </c>
      <c r="H111" s="18">
        <v>0</v>
      </c>
      <c r="I111" s="18">
        <f>-I96+4.7+86.19/0.8</f>
        <v>2279.9901979999986</v>
      </c>
      <c r="J111" s="18">
        <f t="shared" si="4"/>
        <v>0</v>
      </c>
      <c r="K111" s="18">
        <f t="shared" si="5"/>
        <v>6680.5701979999985</v>
      </c>
      <c r="L111" s="17"/>
      <c r="M111" s="64"/>
    </row>
    <row r="112" spans="1:13" ht="15.75" x14ac:dyDescent="0.15">
      <c r="A112" s="82" t="s">
        <v>465</v>
      </c>
      <c r="B112" s="81" t="s">
        <v>464</v>
      </c>
      <c r="C112" s="80" t="s">
        <v>10</v>
      </c>
      <c r="D112" s="79">
        <v>0.53400000000000003</v>
      </c>
      <c r="E112" s="79">
        <f>+E113+E114+E115+E117</f>
        <v>3.1813400000000001</v>
      </c>
      <c r="F112" s="79">
        <v>0</v>
      </c>
      <c r="G112" s="79">
        <f>+G113+G114+G115+G117</f>
        <v>7.2</v>
      </c>
      <c r="H112" s="79">
        <v>0</v>
      </c>
      <c r="I112" s="79">
        <f>+I113+I114+I115+I117</f>
        <v>9.6999999999999993</v>
      </c>
      <c r="J112" s="79">
        <f t="shared" si="4"/>
        <v>0.53400000000000003</v>
      </c>
      <c r="K112" s="79">
        <f t="shared" si="5"/>
        <v>20.081339999999997</v>
      </c>
      <c r="L112" s="78"/>
    </row>
    <row r="113" spans="1:13" ht="15.75" x14ac:dyDescent="0.15">
      <c r="A113" s="32" t="s">
        <v>463</v>
      </c>
      <c r="B113" s="36" t="s">
        <v>462</v>
      </c>
      <c r="C113" s="30" t="s">
        <v>10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f t="shared" si="4"/>
        <v>0</v>
      </c>
      <c r="K113" s="18">
        <f t="shared" si="5"/>
        <v>0</v>
      </c>
      <c r="L113" s="17"/>
    </row>
    <row r="114" spans="1:13" ht="15.75" x14ac:dyDescent="0.15">
      <c r="A114" s="32" t="s">
        <v>461</v>
      </c>
      <c r="B114" s="36" t="s">
        <v>460</v>
      </c>
      <c r="C114" s="30" t="s">
        <v>10</v>
      </c>
      <c r="D114" s="18">
        <v>0.53400000000000003</v>
      </c>
      <c r="E114" s="18">
        <v>0.53</v>
      </c>
      <c r="F114" s="18">
        <v>0</v>
      </c>
      <c r="G114" s="18">
        <v>1.2</v>
      </c>
      <c r="H114" s="18">
        <v>0</v>
      </c>
      <c r="I114" s="18">
        <v>2.2000000000000002</v>
      </c>
      <c r="J114" s="18">
        <f t="shared" si="4"/>
        <v>0.53400000000000003</v>
      </c>
      <c r="K114" s="18">
        <f t="shared" si="5"/>
        <v>3.93</v>
      </c>
      <c r="L114" s="17"/>
    </row>
    <row r="115" spans="1:13" ht="15.75" x14ac:dyDescent="0.15">
      <c r="A115" s="32" t="s">
        <v>459</v>
      </c>
      <c r="B115" s="36" t="s">
        <v>458</v>
      </c>
      <c r="C115" s="30" t="s">
        <v>10</v>
      </c>
      <c r="D115" s="18">
        <v>0</v>
      </c>
      <c r="E115" s="18">
        <v>0.11</v>
      </c>
      <c r="F115" s="18">
        <v>0</v>
      </c>
      <c r="G115" s="18">
        <v>0</v>
      </c>
      <c r="H115" s="18">
        <v>0</v>
      </c>
      <c r="I115" s="18">
        <v>0</v>
      </c>
      <c r="J115" s="18">
        <f t="shared" si="4"/>
        <v>0</v>
      </c>
      <c r="K115" s="18">
        <f t="shared" si="5"/>
        <v>0.11</v>
      </c>
      <c r="L115" s="17"/>
    </row>
    <row r="116" spans="1:13" ht="15.75" x14ac:dyDescent="0.15">
      <c r="A116" s="30" t="s">
        <v>457</v>
      </c>
      <c r="B116" s="45" t="s">
        <v>456</v>
      </c>
      <c r="C116" s="30" t="s">
        <v>10</v>
      </c>
      <c r="D116" s="18">
        <v>0</v>
      </c>
      <c r="E116" s="18">
        <v>0.11</v>
      </c>
      <c r="F116" s="18">
        <v>0</v>
      </c>
      <c r="G116" s="18">
        <v>0</v>
      </c>
      <c r="H116" s="18">
        <v>0</v>
      </c>
      <c r="I116" s="18">
        <v>0</v>
      </c>
      <c r="J116" s="18">
        <f t="shared" si="4"/>
        <v>0</v>
      </c>
      <c r="K116" s="18">
        <f t="shared" si="5"/>
        <v>0.11</v>
      </c>
      <c r="L116" s="17"/>
    </row>
    <row r="117" spans="1:13" ht="15.75" x14ac:dyDescent="0.25">
      <c r="A117" s="32" t="s">
        <v>455</v>
      </c>
      <c r="B117" s="36" t="s">
        <v>454</v>
      </c>
      <c r="C117" s="30" t="s">
        <v>10</v>
      </c>
      <c r="D117" s="18">
        <v>0</v>
      </c>
      <c r="E117" s="18">
        <f>3181.34/1000-E115-E114</f>
        <v>2.5413399999999999</v>
      </c>
      <c r="F117" s="18">
        <v>0</v>
      </c>
      <c r="G117" s="18">
        <v>6</v>
      </c>
      <c r="H117" s="18">
        <v>0</v>
      </c>
      <c r="I117" s="18">
        <v>7.5</v>
      </c>
      <c r="J117" s="18">
        <f t="shared" si="4"/>
        <v>0</v>
      </c>
      <c r="K117" s="18">
        <f t="shared" si="5"/>
        <v>16.041339999999998</v>
      </c>
      <c r="L117" s="17"/>
      <c r="M117" s="64"/>
    </row>
    <row r="118" spans="1:13" s="54" customFormat="1" ht="15.75" x14ac:dyDescent="0.25">
      <c r="A118" s="13" t="s">
        <v>453</v>
      </c>
      <c r="B118" s="14" t="s">
        <v>452</v>
      </c>
      <c r="C118" s="13" t="s">
        <v>10</v>
      </c>
      <c r="D118" s="43">
        <v>0.66599999999999993</v>
      </c>
      <c r="E118" s="43">
        <f>+E90+E105</f>
        <v>3.3435399999993933</v>
      </c>
      <c r="F118" s="43">
        <v>30.654475000000229</v>
      </c>
      <c r="G118" s="43">
        <f>+G90+G105</f>
        <v>29.456430400001409</v>
      </c>
      <c r="H118" s="43">
        <v>66.389312500000145</v>
      </c>
      <c r="I118" s="43">
        <f>+I90+I105</f>
        <v>107.73750000000018</v>
      </c>
      <c r="J118" s="43">
        <f t="shared" si="4"/>
        <v>97.709787500000374</v>
      </c>
      <c r="K118" s="43">
        <f t="shared" si="5"/>
        <v>140.53747040000098</v>
      </c>
      <c r="L118" s="42"/>
      <c r="M118" s="77"/>
    </row>
    <row r="119" spans="1:13" ht="31.5" x14ac:dyDescent="0.15">
      <c r="A119" s="75" t="s">
        <v>451</v>
      </c>
      <c r="B119" s="31" t="s">
        <v>450</v>
      </c>
      <c r="C119" s="30" t="s">
        <v>10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f t="shared" si="4"/>
        <v>0</v>
      </c>
      <c r="K119" s="18">
        <f t="shared" si="5"/>
        <v>0</v>
      </c>
      <c r="L119" s="17"/>
    </row>
    <row r="120" spans="1:13" ht="31.5" x14ac:dyDescent="0.15">
      <c r="A120" s="32" t="s">
        <v>449</v>
      </c>
      <c r="B120" s="36" t="s">
        <v>202</v>
      </c>
      <c r="C120" s="30" t="s">
        <v>10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f t="shared" si="4"/>
        <v>0</v>
      </c>
      <c r="K120" s="18">
        <f t="shared" si="5"/>
        <v>0</v>
      </c>
      <c r="L120" s="17"/>
    </row>
    <row r="121" spans="1:13" ht="31.5" x14ac:dyDescent="0.15">
      <c r="A121" s="32" t="s">
        <v>448</v>
      </c>
      <c r="B121" s="36" t="s">
        <v>199</v>
      </c>
      <c r="C121" s="30" t="s">
        <v>10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f t="shared" si="4"/>
        <v>0</v>
      </c>
      <c r="K121" s="18">
        <f t="shared" si="5"/>
        <v>0</v>
      </c>
      <c r="L121" s="17"/>
    </row>
    <row r="122" spans="1:13" ht="31.5" x14ac:dyDescent="0.15">
      <c r="A122" s="32" t="s">
        <v>447</v>
      </c>
      <c r="B122" s="36" t="s">
        <v>196</v>
      </c>
      <c r="C122" s="30" t="s">
        <v>10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f t="shared" si="4"/>
        <v>0</v>
      </c>
      <c r="K122" s="18">
        <f t="shared" si="5"/>
        <v>0</v>
      </c>
      <c r="L122" s="17"/>
    </row>
    <row r="123" spans="1:13" ht="15.75" x14ac:dyDescent="0.15">
      <c r="A123" s="75" t="s">
        <v>446</v>
      </c>
      <c r="B123" s="31" t="s">
        <v>368</v>
      </c>
      <c r="C123" s="30" t="s">
        <v>10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f t="shared" si="4"/>
        <v>0</v>
      </c>
      <c r="K123" s="18">
        <f t="shared" si="5"/>
        <v>0</v>
      </c>
      <c r="L123" s="17"/>
    </row>
    <row r="124" spans="1:13" ht="15.75" x14ac:dyDescent="0.15">
      <c r="A124" s="75" t="s">
        <v>445</v>
      </c>
      <c r="B124" s="31" t="s">
        <v>366</v>
      </c>
      <c r="C124" s="30" t="s">
        <v>10</v>
      </c>
      <c r="D124" s="18">
        <v>0</v>
      </c>
      <c r="E124" s="18">
        <f>+E96</f>
        <v>-3249.7351200000003</v>
      </c>
      <c r="F124" s="18">
        <v>29.45447500000023</v>
      </c>
      <c r="G124" s="18">
        <f>+G96</f>
        <v>-1115.2035695999984</v>
      </c>
      <c r="H124" s="18">
        <v>65.189312500000142</v>
      </c>
      <c r="I124" s="18">
        <f>+I96</f>
        <v>-2167.5526979999986</v>
      </c>
      <c r="J124" s="18">
        <f t="shared" si="4"/>
        <v>94.643787500000371</v>
      </c>
      <c r="K124" s="18">
        <f t="shared" si="5"/>
        <v>-6532.4913875999973</v>
      </c>
      <c r="L124" s="17"/>
    </row>
    <row r="125" spans="1:13" ht="15.75" x14ac:dyDescent="0.15">
      <c r="A125" s="75" t="s">
        <v>444</v>
      </c>
      <c r="B125" s="31" t="s">
        <v>364</v>
      </c>
      <c r="C125" s="30" t="s">
        <v>10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f t="shared" si="4"/>
        <v>0</v>
      </c>
      <c r="K125" s="18">
        <f t="shared" si="5"/>
        <v>0</v>
      </c>
      <c r="L125" s="17"/>
    </row>
    <row r="126" spans="1:13" ht="15.75" x14ac:dyDescent="0.15">
      <c r="A126" s="75" t="s">
        <v>443</v>
      </c>
      <c r="B126" s="31" t="s">
        <v>362</v>
      </c>
      <c r="C126" s="30" t="s">
        <v>10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f t="shared" ref="J126:J157" si="6">+D126+F126+H126</f>
        <v>0</v>
      </c>
      <c r="K126" s="18">
        <f t="shared" ref="K126:K157" si="7">+E126+G126+I126</f>
        <v>0</v>
      </c>
      <c r="L126" s="17"/>
    </row>
    <row r="127" spans="1:13" ht="15.75" x14ac:dyDescent="0.15">
      <c r="A127" s="75" t="s">
        <v>442</v>
      </c>
      <c r="B127" s="31" t="s">
        <v>360</v>
      </c>
      <c r="C127" s="30" t="s">
        <v>10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f t="shared" si="6"/>
        <v>0</v>
      </c>
      <c r="K127" s="18">
        <f t="shared" si="7"/>
        <v>0</v>
      </c>
      <c r="L127" s="17"/>
    </row>
    <row r="128" spans="1:13" ht="15.75" x14ac:dyDescent="0.15">
      <c r="A128" s="75" t="s">
        <v>441</v>
      </c>
      <c r="B128" s="31" t="s">
        <v>358</v>
      </c>
      <c r="C128" s="30" t="s">
        <v>10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f t="shared" si="6"/>
        <v>0</v>
      </c>
      <c r="K128" s="18">
        <f t="shared" si="7"/>
        <v>0</v>
      </c>
      <c r="L128" s="17"/>
    </row>
    <row r="129" spans="1:12" ht="31.5" x14ac:dyDescent="0.15">
      <c r="A129" s="75" t="s">
        <v>440</v>
      </c>
      <c r="B129" s="31" t="s">
        <v>356</v>
      </c>
      <c r="C129" s="30" t="s">
        <v>10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f t="shared" si="6"/>
        <v>0</v>
      </c>
      <c r="K129" s="18">
        <f t="shared" si="7"/>
        <v>0</v>
      </c>
      <c r="L129" s="17"/>
    </row>
    <row r="130" spans="1:12" ht="15.75" x14ac:dyDescent="0.15">
      <c r="A130" s="32" t="s">
        <v>439</v>
      </c>
      <c r="B130" s="36" t="s">
        <v>13</v>
      </c>
      <c r="C130" s="30" t="s">
        <v>10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f t="shared" si="6"/>
        <v>0</v>
      </c>
      <c r="K130" s="18">
        <f t="shared" si="7"/>
        <v>0</v>
      </c>
      <c r="L130" s="17"/>
    </row>
    <row r="131" spans="1:12" ht="15.75" x14ac:dyDescent="0.15">
      <c r="A131" s="32" t="s">
        <v>438</v>
      </c>
      <c r="B131" s="36" t="s">
        <v>11</v>
      </c>
      <c r="C131" s="30" t="s">
        <v>10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f t="shared" si="6"/>
        <v>0</v>
      </c>
      <c r="K131" s="18">
        <f t="shared" si="7"/>
        <v>0</v>
      </c>
      <c r="L131" s="17"/>
    </row>
    <row r="132" spans="1:12" ht="15.75" x14ac:dyDescent="0.15">
      <c r="A132" s="75" t="s">
        <v>437</v>
      </c>
      <c r="B132" s="31" t="s">
        <v>346</v>
      </c>
      <c r="C132" s="30" t="s">
        <v>10</v>
      </c>
      <c r="D132" s="18">
        <v>0.66599999999999993</v>
      </c>
      <c r="E132" s="18">
        <f>+E104+E105</f>
        <v>3253.0786599999997</v>
      </c>
      <c r="F132" s="18">
        <v>1.2</v>
      </c>
      <c r="G132" s="18">
        <f>+G104+G105</f>
        <v>1144.6599999999999</v>
      </c>
      <c r="H132" s="18">
        <v>1.2</v>
      </c>
      <c r="I132" s="18">
        <f>+I104+I105</f>
        <v>2275.2901979999988</v>
      </c>
      <c r="J132" s="18">
        <f t="shared" si="6"/>
        <v>3.0659999999999998</v>
      </c>
      <c r="K132" s="18">
        <f t="shared" si="7"/>
        <v>6673.0288579999979</v>
      </c>
      <c r="L132" s="17"/>
    </row>
    <row r="133" spans="1:12" s="76" customFormat="1" ht="15.75" x14ac:dyDescent="0.25">
      <c r="A133" s="13" t="s">
        <v>436</v>
      </c>
      <c r="B133" s="14" t="s">
        <v>435</v>
      </c>
      <c r="C133" s="13" t="s">
        <v>10</v>
      </c>
      <c r="D133" s="43">
        <v>0.13319999999999999</v>
      </c>
      <c r="E133" s="43">
        <f>+E139++E141+E147</f>
        <v>5.44</v>
      </c>
      <c r="F133" s="43">
        <v>6.1308950000000468</v>
      </c>
      <c r="G133" s="43">
        <f>+G139++G141+G147</f>
        <v>5.891286080000282</v>
      </c>
      <c r="H133" s="43">
        <v>13.27786250000003</v>
      </c>
      <c r="I133" s="43">
        <f>+I139++I141+I147</f>
        <v>21.547500000000039</v>
      </c>
      <c r="J133" s="43">
        <f t="shared" si="6"/>
        <v>19.541957500000077</v>
      </c>
      <c r="K133" s="43">
        <f t="shared" si="7"/>
        <v>32.878786080000324</v>
      </c>
      <c r="L133" s="42"/>
    </row>
    <row r="134" spans="1:12" ht="15.75" x14ac:dyDescent="0.15">
      <c r="A134" s="75" t="s">
        <v>434</v>
      </c>
      <c r="B134" s="31" t="s">
        <v>373</v>
      </c>
      <c r="C134" s="30" t="s">
        <v>10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f t="shared" si="6"/>
        <v>0</v>
      </c>
      <c r="K134" s="18">
        <f t="shared" si="7"/>
        <v>0</v>
      </c>
      <c r="L134" s="17"/>
    </row>
    <row r="135" spans="1:12" ht="31.5" x14ac:dyDescent="0.15">
      <c r="A135" s="32" t="s">
        <v>433</v>
      </c>
      <c r="B135" s="36" t="s">
        <v>202</v>
      </c>
      <c r="C135" s="30" t="s">
        <v>10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f t="shared" si="6"/>
        <v>0</v>
      </c>
      <c r="K135" s="18">
        <f t="shared" si="7"/>
        <v>0</v>
      </c>
      <c r="L135" s="17"/>
    </row>
    <row r="136" spans="1:12" ht="31.5" x14ac:dyDescent="0.15">
      <c r="A136" s="32" t="s">
        <v>432</v>
      </c>
      <c r="B136" s="36" t="s">
        <v>199</v>
      </c>
      <c r="C136" s="30" t="s">
        <v>10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f t="shared" si="6"/>
        <v>0</v>
      </c>
      <c r="K136" s="18">
        <f t="shared" si="7"/>
        <v>0</v>
      </c>
      <c r="L136" s="17"/>
    </row>
    <row r="137" spans="1:12" ht="31.5" x14ac:dyDescent="0.15">
      <c r="A137" s="32" t="s">
        <v>431</v>
      </c>
      <c r="B137" s="36" t="s">
        <v>196</v>
      </c>
      <c r="C137" s="30" t="s">
        <v>10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f t="shared" si="6"/>
        <v>0</v>
      </c>
      <c r="K137" s="18">
        <f t="shared" si="7"/>
        <v>0</v>
      </c>
      <c r="L137" s="17"/>
    </row>
    <row r="138" spans="1:12" ht="15.75" x14ac:dyDescent="0.15">
      <c r="A138" s="75" t="s">
        <v>430</v>
      </c>
      <c r="B138" s="31" t="s">
        <v>429</v>
      </c>
      <c r="C138" s="30" t="s">
        <v>10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f t="shared" si="6"/>
        <v>0</v>
      </c>
      <c r="K138" s="18">
        <f t="shared" si="7"/>
        <v>0</v>
      </c>
      <c r="L138" s="17"/>
    </row>
    <row r="139" spans="1:12" ht="15.75" x14ac:dyDescent="0.15">
      <c r="A139" s="75" t="s">
        <v>428</v>
      </c>
      <c r="B139" s="31" t="s">
        <v>427</v>
      </c>
      <c r="C139" s="30" t="s">
        <v>10</v>
      </c>
      <c r="D139" s="18">
        <v>0</v>
      </c>
      <c r="E139" s="18">
        <v>0</v>
      </c>
      <c r="F139" s="18">
        <v>5.8908950000000466</v>
      </c>
      <c r="G139" s="18">
        <v>0</v>
      </c>
      <c r="H139" s="18">
        <v>13.037862500000029</v>
      </c>
      <c r="I139" s="18">
        <v>0</v>
      </c>
      <c r="J139" s="18">
        <f t="shared" si="6"/>
        <v>18.928757500000074</v>
      </c>
      <c r="K139" s="18">
        <f t="shared" si="7"/>
        <v>0</v>
      </c>
      <c r="L139" s="17"/>
    </row>
    <row r="140" spans="1:12" ht="15.75" x14ac:dyDescent="0.15">
      <c r="A140" s="75" t="s">
        <v>426</v>
      </c>
      <c r="B140" s="31" t="s">
        <v>425</v>
      </c>
      <c r="C140" s="30" t="s">
        <v>10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f t="shared" si="6"/>
        <v>0</v>
      </c>
      <c r="K140" s="18">
        <f t="shared" si="7"/>
        <v>0</v>
      </c>
      <c r="L140" s="17"/>
    </row>
    <row r="141" spans="1:12" ht="15.75" x14ac:dyDescent="0.15">
      <c r="A141" s="75" t="s">
        <v>424</v>
      </c>
      <c r="B141" s="31" t="s">
        <v>423</v>
      </c>
      <c r="C141" s="30" t="s">
        <v>10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f t="shared" si="6"/>
        <v>0</v>
      </c>
      <c r="K141" s="18">
        <f t="shared" si="7"/>
        <v>0</v>
      </c>
      <c r="L141" s="17"/>
    </row>
    <row r="142" spans="1:12" ht="15.75" x14ac:dyDescent="0.15">
      <c r="A142" s="75" t="s">
        <v>422</v>
      </c>
      <c r="B142" s="31" t="s">
        <v>421</v>
      </c>
      <c r="C142" s="30" t="s">
        <v>10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f t="shared" si="6"/>
        <v>0</v>
      </c>
      <c r="K142" s="18">
        <f t="shared" si="7"/>
        <v>0</v>
      </c>
      <c r="L142" s="17"/>
    </row>
    <row r="143" spans="1:12" ht="15.75" x14ac:dyDescent="0.15">
      <c r="A143" s="75" t="s">
        <v>420</v>
      </c>
      <c r="B143" s="31" t="s">
        <v>358</v>
      </c>
      <c r="C143" s="30" t="s">
        <v>10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f t="shared" si="6"/>
        <v>0</v>
      </c>
      <c r="K143" s="18">
        <f t="shared" si="7"/>
        <v>0</v>
      </c>
      <c r="L143" s="17"/>
    </row>
    <row r="144" spans="1:12" ht="31.5" x14ac:dyDescent="0.15">
      <c r="A144" s="75" t="s">
        <v>419</v>
      </c>
      <c r="B144" s="31" t="s">
        <v>356</v>
      </c>
      <c r="C144" s="30" t="s">
        <v>10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f t="shared" si="6"/>
        <v>0</v>
      </c>
      <c r="K144" s="18">
        <f t="shared" si="7"/>
        <v>0</v>
      </c>
      <c r="L144" s="17"/>
    </row>
    <row r="145" spans="1:12" ht="15.75" x14ac:dyDescent="0.15">
      <c r="A145" s="32" t="s">
        <v>418</v>
      </c>
      <c r="B145" s="36" t="s">
        <v>13</v>
      </c>
      <c r="C145" s="30" t="s">
        <v>10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f t="shared" si="6"/>
        <v>0</v>
      </c>
      <c r="K145" s="18">
        <f t="shared" si="7"/>
        <v>0</v>
      </c>
      <c r="L145" s="17"/>
    </row>
    <row r="146" spans="1:12" ht="15.75" x14ac:dyDescent="0.15">
      <c r="A146" s="32" t="s">
        <v>417</v>
      </c>
      <c r="B146" s="36" t="s">
        <v>11</v>
      </c>
      <c r="C146" s="30" t="s">
        <v>10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f t="shared" si="6"/>
        <v>0</v>
      </c>
      <c r="K146" s="18">
        <f t="shared" si="7"/>
        <v>0</v>
      </c>
      <c r="L146" s="17"/>
    </row>
    <row r="147" spans="1:12" ht="15.75" x14ac:dyDescent="0.15">
      <c r="A147" s="75" t="s">
        <v>416</v>
      </c>
      <c r="B147" s="68" t="s">
        <v>415</v>
      </c>
      <c r="C147" s="30" t="s">
        <v>10</v>
      </c>
      <c r="D147" s="18">
        <v>0.13319999999999999</v>
      </c>
      <c r="E147" s="18">
        <v>5.44</v>
      </c>
      <c r="F147" s="18">
        <v>0.24</v>
      </c>
      <c r="G147" s="18">
        <f>+G118*0.2</f>
        <v>5.891286080000282</v>
      </c>
      <c r="H147" s="18">
        <v>0.24</v>
      </c>
      <c r="I147" s="18">
        <f>+I118*0.2</f>
        <v>21.547500000000039</v>
      </c>
      <c r="J147" s="18">
        <f t="shared" si="6"/>
        <v>0.61319999999999997</v>
      </c>
      <c r="K147" s="18">
        <f t="shared" si="7"/>
        <v>32.878786080000324</v>
      </c>
      <c r="L147" s="17"/>
    </row>
    <row r="148" spans="1:12" s="76" customFormat="1" ht="15.75" x14ac:dyDescent="0.25">
      <c r="A148" s="13" t="s">
        <v>414</v>
      </c>
      <c r="B148" s="14" t="s">
        <v>413</v>
      </c>
      <c r="C148" s="13" t="s">
        <v>10</v>
      </c>
      <c r="D148" s="43">
        <v>0.53279999999999994</v>
      </c>
      <c r="E148" s="43">
        <f>+E154+E156+E162</f>
        <v>-2.0964600000006612</v>
      </c>
      <c r="F148" s="43">
        <v>24.52358000000018</v>
      </c>
      <c r="G148" s="43">
        <f>+G154+G156+G162</f>
        <v>23.565144320001082</v>
      </c>
      <c r="H148" s="43">
        <v>53.111450000000119</v>
      </c>
      <c r="I148" s="43">
        <f>+I154+I156+I162</f>
        <v>86.190000000000055</v>
      </c>
      <c r="J148" s="43">
        <f t="shared" si="6"/>
        <v>78.167830000000293</v>
      </c>
      <c r="K148" s="43">
        <f t="shared" si="7"/>
        <v>107.65868432000048</v>
      </c>
      <c r="L148" s="42"/>
    </row>
    <row r="149" spans="1:12" ht="15.75" x14ac:dyDescent="0.15">
      <c r="A149" s="75" t="s">
        <v>412</v>
      </c>
      <c r="B149" s="31" t="s">
        <v>373</v>
      </c>
      <c r="C149" s="30" t="s">
        <v>10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f t="shared" si="6"/>
        <v>0</v>
      </c>
      <c r="K149" s="18">
        <f t="shared" si="7"/>
        <v>0</v>
      </c>
      <c r="L149" s="17"/>
    </row>
    <row r="150" spans="1:12" ht="31.5" x14ac:dyDescent="0.15">
      <c r="A150" s="32" t="s">
        <v>411</v>
      </c>
      <c r="B150" s="36" t="s">
        <v>202</v>
      </c>
      <c r="C150" s="30" t="s">
        <v>10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f t="shared" si="6"/>
        <v>0</v>
      </c>
      <c r="K150" s="18">
        <f t="shared" si="7"/>
        <v>0</v>
      </c>
      <c r="L150" s="17"/>
    </row>
    <row r="151" spans="1:12" ht="31.5" x14ac:dyDescent="0.15">
      <c r="A151" s="32" t="s">
        <v>410</v>
      </c>
      <c r="B151" s="36" t="s">
        <v>199</v>
      </c>
      <c r="C151" s="30" t="s">
        <v>10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f t="shared" si="6"/>
        <v>0</v>
      </c>
      <c r="K151" s="18">
        <f t="shared" si="7"/>
        <v>0</v>
      </c>
      <c r="L151" s="17"/>
    </row>
    <row r="152" spans="1:12" ht="31.5" x14ac:dyDescent="0.15">
      <c r="A152" s="32" t="s">
        <v>409</v>
      </c>
      <c r="B152" s="36" t="s">
        <v>196</v>
      </c>
      <c r="C152" s="30" t="s">
        <v>10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f t="shared" si="6"/>
        <v>0</v>
      </c>
      <c r="K152" s="18">
        <f t="shared" si="7"/>
        <v>0</v>
      </c>
      <c r="L152" s="17"/>
    </row>
    <row r="153" spans="1:12" ht="15.75" x14ac:dyDescent="0.15">
      <c r="A153" s="75" t="s">
        <v>408</v>
      </c>
      <c r="B153" s="31" t="s">
        <v>368</v>
      </c>
      <c r="C153" s="30" t="s">
        <v>10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f t="shared" si="6"/>
        <v>0</v>
      </c>
      <c r="K153" s="18">
        <f t="shared" si="7"/>
        <v>0</v>
      </c>
      <c r="L153" s="17"/>
    </row>
    <row r="154" spans="1:12" ht="15.75" x14ac:dyDescent="0.15">
      <c r="A154" s="75" t="s">
        <v>407</v>
      </c>
      <c r="B154" s="31" t="s">
        <v>366</v>
      </c>
      <c r="C154" s="30" t="s">
        <v>10</v>
      </c>
      <c r="D154" s="18">
        <v>0</v>
      </c>
      <c r="E154" s="18">
        <f>+E124</f>
        <v>-3249.7351200000003</v>
      </c>
      <c r="F154" s="18">
        <v>23.563580000000183</v>
      </c>
      <c r="G154" s="18">
        <f>+G124</f>
        <v>-1115.2035695999984</v>
      </c>
      <c r="H154" s="18">
        <v>52.151450000000111</v>
      </c>
      <c r="I154" s="18">
        <f>+I124</f>
        <v>-2167.5526979999986</v>
      </c>
      <c r="J154" s="18">
        <f t="shared" si="6"/>
        <v>75.715030000000297</v>
      </c>
      <c r="K154" s="18">
        <f t="shared" si="7"/>
        <v>-6532.4913875999973</v>
      </c>
      <c r="L154" s="17"/>
    </row>
    <row r="155" spans="1:12" ht="15.75" x14ac:dyDescent="0.15">
      <c r="A155" s="75" t="s">
        <v>406</v>
      </c>
      <c r="B155" s="31" t="s">
        <v>364</v>
      </c>
      <c r="C155" s="30" t="s">
        <v>10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f t="shared" si="6"/>
        <v>0</v>
      </c>
      <c r="K155" s="18">
        <f t="shared" si="7"/>
        <v>0</v>
      </c>
      <c r="L155" s="17"/>
    </row>
    <row r="156" spans="1:12" ht="15.75" x14ac:dyDescent="0.15">
      <c r="A156" s="75" t="s">
        <v>405</v>
      </c>
      <c r="B156" s="31" t="s">
        <v>362</v>
      </c>
      <c r="C156" s="30" t="s">
        <v>10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f t="shared" si="6"/>
        <v>0</v>
      </c>
      <c r="K156" s="18">
        <f t="shared" si="7"/>
        <v>0</v>
      </c>
      <c r="L156" s="17"/>
    </row>
    <row r="157" spans="1:12" ht="15.75" x14ac:dyDescent="0.15">
      <c r="A157" s="75" t="s">
        <v>404</v>
      </c>
      <c r="B157" s="31" t="s">
        <v>360</v>
      </c>
      <c r="C157" s="30" t="s">
        <v>10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f t="shared" si="6"/>
        <v>0</v>
      </c>
      <c r="K157" s="18">
        <f t="shared" si="7"/>
        <v>0</v>
      </c>
      <c r="L157" s="17"/>
    </row>
    <row r="158" spans="1:12" ht="15.75" x14ac:dyDescent="0.15">
      <c r="A158" s="75" t="s">
        <v>403</v>
      </c>
      <c r="B158" s="31" t="s">
        <v>358</v>
      </c>
      <c r="C158" s="30" t="s">
        <v>10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f t="shared" ref="J158:J167" si="8">+D158+F158+H158</f>
        <v>0</v>
      </c>
      <c r="K158" s="18">
        <f t="shared" ref="K158:K167" si="9">+E158+G158+I158</f>
        <v>0</v>
      </c>
      <c r="L158" s="17"/>
    </row>
    <row r="159" spans="1:12" ht="31.5" x14ac:dyDescent="0.15">
      <c r="A159" s="75" t="s">
        <v>402</v>
      </c>
      <c r="B159" s="31" t="s">
        <v>356</v>
      </c>
      <c r="C159" s="30" t="s">
        <v>10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f t="shared" si="8"/>
        <v>0</v>
      </c>
      <c r="K159" s="18">
        <f t="shared" si="9"/>
        <v>0</v>
      </c>
      <c r="L159" s="17"/>
    </row>
    <row r="160" spans="1:12" ht="15.75" x14ac:dyDescent="0.15">
      <c r="A160" s="32" t="s">
        <v>401</v>
      </c>
      <c r="B160" s="36" t="s">
        <v>13</v>
      </c>
      <c r="C160" s="30" t="s">
        <v>10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f t="shared" si="8"/>
        <v>0</v>
      </c>
      <c r="K160" s="18">
        <f t="shared" si="9"/>
        <v>0</v>
      </c>
      <c r="L160" s="17"/>
    </row>
    <row r="161" spans="1:30" ht="15.75" x14ac:dyDescent="0.15">
      <c r="A161" s="32" t="s">
        <v>400</v>
      </c>
      <c r="B161" s="36" t="s">
        <v>11</v>
      </c>
      <c r="C161" s="30" t="s">
        <v>10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f t="shared" si="8"/>
        <v>0</v>
      </c>
      <c r="K161" s="18">
        <f t="shared" si="9"/>
        <v>0</v>
      </c>
      <c r="L161" s="17"/>
    </row>
    <row r="162" spans="1:30" ht="15.75" x14ac:dyDescent="0.15">
      <c r="A162" s="75" t="s">
        <v>399</v>
      </c>
      <c r="B162" s="31" t="s">
        <v>346</v>
      </c>
      <c r="C162" s="30" t="s">
        <v>10</v>
      </c>
      <c r="D162" s="18">
        <v>0.53279999999999994</v>
      </c>
      <c r="E162" s="18">
        <f>+E132-E147</f>
        <v>3247.6386599999996</v>
      </c>
      <c r="F162" s="18">
        <v>0.96</v>
      </c>
      <c r="G162" s="18">
        <f>+G132-G147</f>
        <v>1138.7687139199995</v>
      </c>
      <c r="H162" s="18">
        <v>0.96</v>
      </c>
      <c r="I162" s="18">
        <f>+I132-I147</f>
        <v>2253.7426979999987</v>
      </c>
      <c r="J162" s="18">
        <f t="shared" si="8"/>
        <v>2.4527999999999999</v>
      </c>
      <c r="K162" s="18">
        <f t="shared" si="9"/>
        <v>6640.1500719199976</v>
      </c>
      <c r="L162" s="17"/>
    </row>
    <row r="163" spans="1:30" ht="15.75" x14ac:dyDescent="0.15">
      <c r="A163" s="13" t="s">
        <v>398</v>
      </c>
      <c r="B163" s="14" t="s">
        <v>397</v>
      </c>
      <c r="C163" s="13" t="s">
        <v>10</v>
      </c>
      <c r="D163" s="43">
        <v>0.53279999999999994</v>
      </c>
      <c r="E163" s="43">
        <v>0</v>
      </c>
      <c r="F163" s="43">
        <v>24.52358000000018</v>
      </c>
      <c r="G163" s="43">
        <f>+G164</f>
        <v>23.565144320001082</v>
      </c>
      <c r="H163" s="43">
        <v>53.111450000000119</v>
      </c>
      <c r="I163" s="43">
        <f>+I164</f>
        <v>86.190000000000055</v>
      </c>
      <c r="J163" s="43">
        <f t="shared" si="8"/>
        <v>78.167830000000293</v>
      </c>
      <c r="K163" s="43">
        <f t="shared" si="9"/>
        <v>109.75514432000114</v>
      </c>
      <c r="L163" s="42"/>
    </row>
    <row r="164" spans="1:30" ht="15.75" x14ac:dyDescent="0.15">
      <c r="A164" s="32" t="s">
        <v>396</v>
      </c>
      <c r="B164" s="36" t="s">
        <v>395</v>
      </c>
      <c r="C164" s="30" t="s">
        <v>10</v>
      </c>
      <c r="D164" s="29">
        <v>0.53279999999999994</v>
      </c>
      <c r="E164" s="29">
        <v>0</v>
      </c>
      <c r="F164" s="29">
        <v>24.52358000000018</v>
      </c>
      <c r="G164" s="29">
        <f>+G148</f>
        <v>23.565144320001082</v>
      </c>
      <c r="H164" s="29">
        <v>53.111450000000119</v>
      </c>
      <c r="I164" s="29">
        <f>+I148</f>
        <v>86.190000000000055</v>
      </c>
      <c r="J164" s="29">
        <f t="shared" si="8"/>
        <v>78.167830000000293</v>
      </c>
      <c r="K164" s="29">
        <f t="shared" si="9"/>
        <v>109.75514432000114</v>
      </c>
      <c r="L164" s="28"/>
    </row>
    <row r="165" spans="1:30" ht="15.75" x14ac:dyDescent="0.15">
      <c r="A165" s="32" t="s">
        <v>394</v>
      </c>
      <c r="B165" s="36" t="s">
        <v>393</v>
      </c>
      <c r="C165" s="30" t="s">
        <v>10</v>
      </c>
      <c r="D165" s="29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f t="shared" si="8"/>
        <v>0</v>
      </c>
      <c r="K165" s="29">
        <f t="shared" si="9"/>
        <v>0</v>
      </c>
      <c r="L165" s="28"/>
    </row>
    <row r="166" spans="1:30" ht="15.75" x14ac:dyDescent="0.15">
      <c r="A166" s="32" t="s">
        <v>392</v>
      </c>
      <c r="B166" s="36" t="s">
        <v>235</v>
      </c>
      <c r="C166" s="30" t="s">
        <v>10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f t="shared" si="8"/>
        <v>0</v>
      </c>
      <c r="K166" s="29">
        <f t="shared" si="9"/>
        <v>0</v>
      </c>
      <c r="L166" s="28"/>
    </row>
    <row r="167" spans="1:30" ht="15.75" x14ac:dyDescent="0.15">
      <c r="A167" s="32" t="s">
        <v>391</v>
      </c>
      <c r="B167" s="36" t="s">
        <v>390</v>
      </c>
      <c r="C167" s="30" t="s">
        <v>10</v>
      </c>
      <c r="D167" s="29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f t="shared" si="8"/>
        <v>0</v>
      </c>
      <c r="K167" s="29">
        <f t="shared" si="9"/>
        <v>0</v>
      </c>
      <c r="L167" s="28"/>
    </row>
    <row r="168" spans="1:30" ht="15.75" x14ac:dyDescent="0.15">
      <c r="A168" s="73" t="s">
        <v>389</v>
      </c>
      <c r="B168" s="74" t="s">
        <v>209</v>
      </c>
      <c r="C168" s="73" t="s">
        <v>34</v>
      </c>
      <c r="D168" s="72" t="s">
        <v>34</v>
      </c>
      <c r="E168" s="72"/>
      <c r="F168" s="72" t="s">
        <v>34</v>
      </c>
      <c r="G168" s="72"/>
      <c r="H168" s="72" t="s">
        <v>34</v>
      </c>
      <c r="I168" s="72"/>
      <c r="J168" s="72"/>
      <c r="K168" s="72"/>
      <c r="L168" s="71"/>
    </row>
    <row r="169" spans="1:30" ht="31.5" x14ac:dyDescent="0.15">
      <c r="A169" s="15" t="s">
        <v>388</v>
      </c>
      <c r="B169" s="70" t="s">
        <v>387</v>
      </c>
      <c r="C169" s="13" t="s">
        <v>10</v>
      </c>
      <c r="D169" s="43">
        <v>1.2</v>
      </c>
      <c r="E169" s="43">
        <f>+E118+E114+E78</f>
        <v>3.8751399999993934</v>
      </c>
      <c r="F169" s="43">
        <v>39.668975000000231</v>
      </c>
      <c r="G169" s="43">
        <f>+G118+G114+G78</f>
        <v>30.658030400001408</v>
      </c>
      <c r="H169" s="43">
        <v>257.03774250000015</v>
      </c>
      <c r="I169" s="43">
        <f>+I118+I114+I78</f>
        <v>109.93910000000018</v>
      </c>
      <c r="J169" s="43">
        <f t="shared" ref="J169:K173" si="10">+D169+F169+H169</f>
        <v>297.90671750000035</v>
      </c>
      <c r="K169" s="43">
        <f t="shared" si="10"/>
        <v>144.47227040000098</v>
      </c>
      <c r="L169" s="42"/>
    </row>
    <row r="170" spans="1:30" ht="15.75" x14ac:dyDescent="0.15">
      <c r="A170" s="30" t="s">
        <v>386</v>
      </c>
      <c r="B170" s="68" t="s">
        <v>385</v>
      </c>
      <c r="C170" s="30" t="s">
        <v>10</v>
      </c>
      <c r="D170" s="60">
        <v>6.9859999999999998</v>
      </c>
      <c r="E170" s="60">
        <v>0</v>
      </c>
      <c r="F170" s="29">
        <v>0</v>
      </c>
      <c r="G170" s="60">
        <v>0</v>
      </c>
      <c r="H170" s="29">
        <v>251.80642</v>
      </c>
      <c r="I170" s="60">
        <v>0</v>
      </c>
      <c r="J170" s="29">
        <f t="shared" si="10"/>
        <v>258.79241999999999</v>
      </c>
      <c r="K170" s="60">
        <f t="shared" si="10"/>
        <v>0</v>
      </c>
      <c r="L170" s="28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69"/>
      <c r="X170" s="69"/>
      <c r="Y170" s="69"/>
      <c r="Z170" s="69"/>
      <c r="AA170" s="69"/>
      <c r="AB170" s="69"/>
      <c r="AC170" s="69"/>
      <c r="AD170" s="69"/>
    </row>
    <row r="171" spans="1:30" ht="15.75" x14ac:dyDescent="0.15">
      <c r="A171" s="32" t="s">
        <v>384</v>
      </c>
      <c r="B171" s="36" t="s">
        <v>383</v>
      </c>
      <c r="C171" s="30" t="s">
        <v>10</v>
      </c>
      <c r="D171" s="29">
        <v>6.68</v>
      </c>
      <c r="E171" s="60">
        <v>0</v>
      </c>
      <c r="F171" s="29">
        <v>0</v>
      </c>
      <c r="G171" s="60">
        <v>0</v>
      </c>
      <c r="H171" s="29">
        <v>251.80642</v>
      </c>
      <c r="I171" s="60">
        <v>0</v>
      </c>
      <c r="J171" s="29">
        <f t="shared" si="10"/>
        <v>258.48642000000001</v>
      </c>
      <c r="K171" s="60">
        <f t="shared" si="10"/>
        <v>0</v>
      </c>
      <c r="L171" s="28"/>
    </row>
    <row r="172" spans="1:30" ht="15.75" x14ac:dyDescent="0.15">
      <c r="A172" s="32" t="s">
        <v>382</v>
      </c>
      <c r="B172" s="68" t="s">
        <v>381</v>
      </c>
      <c r="C172" s="30" t="s">
        <v>10</v>
      </c>
      <c r="D172" s="29">
        <v>0</v>
      </c>
      <c r="E172" s="60">
        <v>0</v>
      </c>
      <c r="F172" s="29">
        <v>251.80642</v>
      </c>
      <c r="G172" s="60">
        <v>0</v>
      </c>
      <c r="H172" s="29">
        <v>1915.0492467499998</v>
      </c>
      <c r="I172" s="60">
        <f>+I237</f>
        <v>921.44137764178208</v>
      </c>
      <c r="J172" s="29">
        <f t="shared" si="10"/>
        <v>2166.8556667499997</v>
      </c>
      <c r="K172" s="60">
        <f t="shared" si="10"/>
        <v>921.44137764178208</v>
      </c>
      <c r="L172" s="28"/>
    </row>
    <row r="173" spans="1:30" ht="15.75" x14ac:dyDescent="0.15">
      <c r="A173" s="32" t="s">
        <v>380</v>
      </c>
      <c r="B173" s="36" t="s">
        <v>379</v>
      </c>
      <c r="C173" s="30" t="s">
        <v>10</v>
      </c>
      <c r="D173" s="29">
        <v>0</v>
      </c>
      <c r="E173" s="60">
        <v>0</v>
      </c>
      <c r="F173" s="29">
        <v>251.80642</v>
      </c>
      <c r="G173" s="60">
        <v>0</v>
      </c>
      <c r="H173" s="29">
        <v>1832.8149699999999</v>
      </c>
      <c r="I173" s="60">
        <v>0</v>
      </c>
      <c r="J173" s="29">
        <f t="shared" si="10"/>
        <v>2084.6213899999998</v>
      </c>
      <c r="K173" s="60">
        <f t="shared" si="10"/>
        <v>0</v>
      </c>
      <c r="L173" s="28"/>
    </row>
    <row r="174" spans="1:30" ht="31.5" x14ac:dyDescent="0.15">
      <c r="A174" s="30" t="s">
        <v>378</v>
      </c>
      <c r="B174" s="68" t="s">
        <v>377</v>
      </c>
      <c r="C174" s="30" t="s">
        <v>34</v>
      </c>
      <c r="D174" s="29">
        <v>0</v>
      </c>
      <c r="E174" s="60">
        <v>0</v>
      </c>
      <c r="F174" s="29">
        <f>+F172/F169</f>
        <v>6.3476916154248642</v>
      </c>
      <c r="G174" s="60">
        <v>0</v>
      </c>
      <c r="H174" s="29">
        <v>7.4504593299172734</v>
      </c>
      <c r="I174" s="60">
        <f>+I172/I169</f>
        <v>8.3813800335074653</v>
      </c>
      <c r="J174" s="60">
        <f>+J172/J169</f>
        <v>7.2736045864759564</v>
      </c>
      <c r="K174" s="60">
        <f>+K172/K169</f>
        <v>6.3779808754343206</v>
      </c>
      <c r="L174" s="28"/>
    </row>
    <row r="175" spans="1:30" ht="15.75" customHeight="1" x14ac:dyDescent="0.15">
      <c r="A175" s="117" t="s">
        <v>376</v>
      </c>
      <c r="B175" s="118"/>
      <c r="C175" s="118"/>
      <c r="D175" s="118"/>
      <c r="E175" s="118"/>
      <c r="F175" s="118"/>
      <c r="G175" s="118"/>
      <c r="H175" s="118"/>
      <c r="I175" s="118"/>
      <c r="J175" s="118"/>
      <c r="K175" s="67"/>
      <c r="L175" s="67"/>
    </row>
    <row r="176" spans="1:30" ht="15.75" x14ac:dyDescent="0.15">
      <c r="A176" s="15" t="s">
        <v>33</v>
      </c>
      <c r="B176" s="14" t="s">
        <v>375</v>
      </c>
      <c r="C176" s="13" t="s">
        <v>10</v>
      </c>
      <c r="D176" s="43">
        <v>569.03358119999996</v>
      </c>
      <c r="E176" s="43">
        <f>+E182+E193</f>
        <v>10905.880000000001</v>
      </c>
      <c r="F176" s="43">
        <v>1211.6801462126789</v>
      </c>
      <c r="G176" s="43">
        <f>+G182+G193</f>
        <v>10345.472</v>
      </c>
      <c r="H176" s="43">
        <v>1551.300848616582</v>
      </c>
      <c r="I176" s="43">
        <f>+I182+I193</f>
        <v>11794.953065999998</v>
      </c>
      <c r="J176" s="43">
        <f t="shared" ref="J176:J207" si="11">+D176+F176+H176</f>
        <v>3332.0145760292608</v>
      </c>
      <c r="K176" s="43">
        <f t="shared" ref="K176:K207" si="12">+E176+G176+I176</f>
        <v>33046.305066000001</v>
      </c>
      <c r="L176" s="42"/>
    </row>
    <row r="177" spans="1:12" ht="15.75" x14ac:dyDescent="0.15">
      <c r="A177" s="35" t="s">
        <v>374</v>
      </c>
      <c r="B177" s="34" t="s">
        <v>373</v>
      </c>
      <c r="C177" s="33" t="s">
        <v>10</v>
      </c>
      <c r="D177" s="60">
        <v>0</v>
      </c>
      <c r="E177" s="60">
        <v>0</v>
      </c>
      <c r="F177" s="29">
        <v>0</v>
      </c>
      <c r="G177" s="60">
        <v>0</v>
      </c>
      <c r="H177" s="29">
        <v>0</v>
      </c>
      <c r="I177" s="60">
        <v>0</v>
      </c>
      <c r="J177" s="29">
        <f t="shared" si="11"/>
        <v>0</v>
      </c>
      <c r="K177" s="60">
        <f t="shared" si="12"/>
        <v>0</v>
      </c>
      <c r="L177" s="28"/>
    </row>
    <row r="178" spans="1:12" ht="31.5" x14ac:dyDescent="0.15">
      <c r="A178" s="32" t="s">
        <v>372</v>
      </c>
      <c r="B178" s="36" t="s">
        <v>202</v>
      </c>
      <c r="C178" s="30" t="s">
        <v>10</v>
      </c>
      <c r="D178" s="29">
        <v>0</v>
      </c>
      <c r="E178" s="60">
        <v>0</v>
      </c>
      <c r="F178" s="29">
        <v>0</v>
      </c>
      <c r="G178" s="60">
        <v>0</v>
      </c>
      <c r="H178" s="29">
        <v>0</v>
      </c>
      <c r="I178" s="60">
        <v>0</v>
      </c>
      <c r="J178" s="29">
        <f t="shared" si="11"/>
        <v>0</v>
      </c>
      <c r="K178" s="60">
        <f t="shared" si="12"/>
        <v>0</v>
      </c>
      <c r="L178" s="28"/>
    </row>
    <row r="179" spans="1:12" ht="31.5" x14ac:dyDescent="0.15">
      <c r="A179" s="32" t="s">
        <v>371</v>
      </c>
      <c r="B179" s="36" t="s">
        <v>199</v>
      </c>
      <c r="C179" s="30" t="s">
        <v>10</v>
      </c>
      <c r="D179" s="29">
        <v>0</v>
      </c>
      <c r="E179" s="60">
        <v>0</v>
      </c>
      <c r="F179" s="29">
        <v>0</v>
      </c>
      <c r="G179" s="60">
        <v>0</v>
      </c>
      <c r="H179" s="29">
        <v>0</v>
      </c>
      <c r="I179" s="60">
        <v>0</v>
      </c>
      <c r="J179" s="29">
        <f t="shared" si="11"/>
        <v>0</v>
      </c>
      <c r="K179" s="60">
        <f t="shared" si="12"/>
        <v>0</v>
      </c>
      <c r="L179" s="28"/>
    </row>
    <row r="180" spans="1:12" ht="31.5" x14ac:dyDescent="0.15">
      <c r="A180" s="32" t="s">
        <v>370</v>
      </c>
      <c r="B180" s="36" t="s">
        <v>196</v>
      </c>
      <c r="C180" s="30" t="s">
        <v>10</v>
      </c>
      <c r="D180" s="29">
        <v>0</v>
      </c>
      <c r="E180" s="60">
        <v>0</v>
      </c>
      <c r="F180" s="29">
        <v>0</v>
      </c>
      <c r="G180" s="60">
        <v>0</v>
      </c>
      <c r="H180" s="29">
        <v>0</v>
      </c>
      <c r="I180" s="60">
        <v>0</v>
      </c>
      <c r="J180" s="29">
        <f t="shared" si="11"/>
        <v>0</v>
      </c>
      <c r="K180" s="60">
        <f t="shared" si="12"/>
        <v>0</v>
      </c>
      <c r="L180" s="28"/>
    </row>
    <row r="181" spans="1:12" ht="15.75" x14ac:dyDescent="0.15">
      <c r="A181" s="32" t="s">
        <v>369</v>
      </c>
      <c r="B181" s="31" t="s">
        <v>368</v>
      </c>
      <c r="C181" s="30" t="s">
        <v>10</v>
      </c>
      <c r="D181" s="29">
        <v>0</v>
      </c>
      <c r="E181" s="60">
        <v>0</v>
      </c>
      <c r="F181" s="29">
        <v>0</v>
      </c>
      <c r="G181" s="60">
        <v>0</v>
      </c>
      <c r="H181" s="29">
        <v>0</v>
      </c>
      <c r="I181" s="60">
        <v>0</v>
      </c>
      <c r="J181" s="29">
        <f t="shared" si="11"/>
        <v>0</v>
      </c>
      <c r="K181" s="60">
        <f t="shared" si="12"/>
        <v>0</v>
      </c>
      <c r="L181" s="28"/>
    </row>
    <row r="182" spans="1:12" ht="15.75" x14ac:dyDescent="0.15">
      <c r="A182" s="35" t="s">
        <v>367</v>
      </c>
      <c r="B182" s="34" t="s">
        <v>366</v>
      </c>
      <c r="C182" s="33" t="s">
        <v>10</v>
      </c>
      <c r="D182" s="29">
        <v>569.03358119999996</v>
      </c>
      <c r="E182" s="29">
        <v>7156.81</v>
      </c>
      <c r="F182" s="29">
        <v>1196.9681462126789</v>
      </c>
      <c r="G182" s="29">
        <f>+G36*1.2-200</f>
        <v>9193.6119999999992</v>
      </c>
      <c r="H182" s="29">
        <v>1551.300848616582</v>
      </c>
      <c r="I182" s="29">
        <f>+I36*1.2-250</f>
        <v>9509.9628679999987</v>
      </c>
      <c r="J182" s="29">
        <f t="shared" si="11"/>
        <v>3317.3025760292612</v>
      </c>
      <c r="K182" s="60">
        <f t="shared" si="12"/>
        <v>25860.384867999997</v>
      </c>
      <c r="L182" s="28"/>
    </row>
    <row r="183" spans="1:12" ht="15.75" x14ac:dyDescent="0.15">
      <c r="A183" s="32" t="s">
        <v>365</v>
      </c>
      <c r="B183" s="31" t="s">
        <v>364</v>
      </c>
      <c r="C183" s="30" t="s">
        <v>10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f t="shared" si="11"/>
        <v>0</v>
      </c>
      <c r="K183" s="60">
        <f t="shared" si="12"/>
        <v>0</v>
      </c>
      <c r="L183" s="28"/>
    </row>
    <row r="184" spans="1:12" ht="15.75" x14ac:dyDescent="0.15">
      <c r="A184" s="32" t="s">
        <v>363</v>
      </c>
      <c r="B184" s="31" t="s">
        <v>362</v>
      </c>
      <c r="C184" s="30" t="s">
        <v>10</v>
      </c>
      <c r="D184" s="29">
        <v>0</v>
      </c>
      <c r="E184" s="29">
        <v>0</v>
      </c>
      <c r="F184" s="29">
        <v>14.712</v>
      </c>
      <c r="G184" s="29">
        <v>0</v>
      </c>
      <c r="H184" s="29">
        <v>0</v>
      </c>
      <c r="I184" s="29">
        <v>0</v>
      </c>
      <c r="J184" s="29">
        <f t="shared" si="11"/>
        <v>14.712</v>
      </c>
      <c r="K184" s="60">
        <f t="shared" si="12"/>
        <v>0</v>
      </c>
      <c r="L184" s="28"/>
    </row>
    <row r="185" spans="1:12" ht="15.75" x14ac:dyDescent="0.15">
      <c r="A185" s="32" t="s">
        <v>361</v>
      </c>
      <c r="B185" s="31" t="s">
        <v>360</v>
      </c>
      <c r="C185" s="30" t="s">
        <v>10</v>
      </c>
      <c r="D185" s="29">
        <v>0</v>
      </c>
      <c r="E185" s="29">
        <v>0</v>
      </c>
      <c r="F185" s="29">
        <v>0</v>
      </c>
      <c r="G185" s="29">
        <v>0</v>
      </c>
      <c r="H185" s="29">
        <v>0</v>
      </c>
      <c r="I185" s="29">
        <v>0</v>
      </c>
      <c r="J185" s="29">
        <f t="shared" si="11"/>
        <v>0</v>
      </c>
      <c r="K185" s="60">
        <f t="shared" si="12"/>
        <v>0</v>
      </c>
      <c r="L185" s="28"/>
    </row>
    <row r="186" spans="1:12" ht="15.75" x14ac:dyDescent="0.15">
      <c r="A186" s="32" t="s">
        <v>359</v>
      </c>
      <c r="B186" s="31" t="s">
        <v>358</v>
      </c>
      <c r="C186" s="30" t="s">
        <v>10</v>
      </c>
      <c r="D186" s="29">
        <v>0</v>
      </c>
      <c r="E186" s="29">
        <v>0</v>
      </c>
      <c r="F186" s="29">
        <v>0</v>
      </c>
      <c r="G186" s="29">
        <v>0</v>
      </c>
      <c r="H186" s="29">
        <v>0</v>
      </c>
      <c r="I186" s="29">
        <v>0</v>
      </c>
      <c r="J186" s="29">
        <f t="shared" si="11"/>
        <v>0</v>
      </c>
      <c r="K186" s="60">
        <f t="shared" si="12"/>
        <v>0</v>
      </c>
      <c r="L186" s="28"/>
    </row>
    <row r="187" spans="1:12" ht="31.5" x14ac:dyDescent="0.15">
      <c r="A187" s="32" t="s">
        <v>357</v>
      </c>
      <c r="B187" s="31" t="s">
        <v>356</v>
      </c>
      <c r="C187" s="30" t="s">
        <v>10</v>
      </c>
      <c r="D187" s="29">
        <v>0</v>
      </c>
      <c r="E187" s="29">
        <v>0</v>
      </c>
      <c r="F187" s="29">
        <v>0</v>
      </c>
      <c r="G187" s="29">
        <v>0</v>
      </c>
      <c r="H187" s="29">
        <v>0</v>
      </c>
      <c r="I187" s="29">
        <v>0</v>
      </c>
      <c r="J187" s="29">
        <f t="shared" si="11"/>
        <v>0</v>
      </c>
      <c r="K187" s="60">
        <f t="shared" si="12"/>
        <v>0</v>
      </c>
      <c r="L187" s="28"/>
    </row>
    <row r="188" spans="1:12" ht="15.75" x14ac:dyDescent="0.15">
      <c r="A188" s="32" t="s">
        <v>355</v>
      </c>
      <c r="B188" s="36" t="s">
        <v>13</v>
      </c>
      <c r="C188" s="30" t="s">
        <v>10</v>
      </c>
      <c r="D188" s="29">
        <v>0</v>
      </c>
      <c r="E188" s="29">
        <v>0</v>
      </c>
      <c r="F188" s="29">
        <v>0</v>
      </c>
      <c r="G188" s="29">
        <v>0</v>
      </c>
      <c r="H188" s="29">
        <v>0</v>
      </c>
      <c r="I188" s="29">
        <v>0</v>
      </c>
      <c r="J188" s="29">
        <f t="shared" si="11"/>
        <v>0</v>
      </c>
      <c r="K188" s="60">
        <f t="shared" si="12"/>
        <v>0</v>
      </c>
      <c r="L188" s="28"/>
    </row>
    <row r="189" spans="1:12" ht="15.75" x14ac:dyDescent="0.15">
      <c r="A189" s="32" t="s">
        <v>354</v>
      </c>
      <c r="B189" s="36" t="s">
        <v>11</v>
      </c>
      <c r="C189" s="30" t="s">
        <v>10</v>
      </c>
      <c r="D189" s="29">
        <v>0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f t="shared" si="11"/>
        <v>0</v>
      </c>
      <c r="K189" s="60">
        <f t="shared" si="12"/>
        <v>0</v>
      </c>
      <c r="L189" s="28"/>
    </row>
    <row r="190" spans="1:12" ht="31.5" x14ac:dyDescent="0.15">
      <c r="A190" s="32" t="s">
        <v>353</v>
      </c>
      <c r="B190" s="31" t="s">
        <v>352</v>
      </c>
      <c r="C190" s="30" t="s">
        <v>10</v>
      </c>
      <c r="D190" s="29">
        <v>0</v>
      </c>
      <c r="E190" s="29">
        <v>0</v>
      </c>
      <c r="F190" s="29">
        <v>0</v>
      </c>
      <c r="G190" s="29">
        <v>0</v>
      </c>
      <c r="H190" s="29">
        <v>0</v>
      </c>
      <c r="I190" s="29">
        <v>0</v>
      </c>
      <c r="J190" s="29">
        <f t="shared" si="11"/>
        <v>0</v>
      </c>
      <c r="K190" s="60">
        <f t="shared" si="12"/>
        <v>0</v>
      </c>
      <c r="L190" s="28"/>
    </row>
    <row r="191" spans="1:12" ht="15.75" x14ac:dyDescent="0.15">
      <c r="A191" s="32" t="s">
        <v>351</v>
      </c>
      <c r="B191" s="36" t="s">
        <v>350</v>
      </c>
      <c r="C191" s="30" t="s">
        <v>10</v>
      </c>
      <c r="D191" s="29">
        <v>0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f t="shared" si="11"/>
        <v>0</v>
      </c>
      <c r="K191" s="60">
        <f t="shared" si="12"/>
        <v>0</v>
      </c>
      <c r="L191" s="28"/>
    </row>
    <row r="192" spans="1:12" ht="15.75" x14ac:dyDescent="0.15">
      <c r="A192" s="32" t="s">
        <v>349</v>
      </c>
      <c r="B192" s="36" t="s">
        <v>348</v>
      </c>
      <c r="C192" s="30" t="s">
        <v>10</v>
      </c>
      <c r="D192" s="29">
        <v>0</v>
      </c>
      <c r="E192" s="29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f t="shared" si="11"/>
        <v>0</v>
      </c>
      <c r="K192" s="60">
        <f t="shared" si="12"/>
        <v>0</v>
      </c>
      <c r="L192" s="28"/>
    </row>
    <row r="193" spans="1:13" ht="15.75" x14ac:dyDescent="0.25">
      <c r="A193" s="32" t="s">
        <v>347</v>
      </c>
      <c r="B193" s="31" t="s">
        <v>346</v>
      </c>
      <c r="C193" s="30" t="s">
        <v>10</v>
      </c>
      <c r="D193" s="29">
        <v>0</v>
      </c>
      <c r="E193" s="29">
        <f>3751.61-2.54</f>
        <v>3749.07</v>
      </c>
      <c r="F193" s="29">
        <v>0</v>
      </c>
      <c r="G193" s="29">
        <f>+G111+G108</f>
        <v>1151.8599999999999</v>
      </c>
      <c r="H193" s="29">
        <v>0</v>
      </c>
      <c r="I193" s="29">
        <f>+I111+I108</f>
        <v>2284.9901979999986</v>
      </c>
      <c r="J193" s="29">
        <f t="shared" si="11"/>
        <v>0</v>
      </c>
      <c r="K193" s="60">
        <f t="shared" si="12"/>
        <v>7185.9201979999989</v>
      </c>
      <c r="L193" s="28"/>
      <c r="M193" s="64"/>
    </row>
    <row r="194" spans="1:13" ht="15.75" x14ac:dyDescent="0.15">
      <c r="A194" s="15" t="s">
        <v>345</v>
      </c>
      <c r="B194" s="14" t="s">
        <v>344</v>
      </c>
      <c r="C194" s="13" t="s">
        <v>10</v>
      </c>
      <c r="D194" s="43">
        <v>559.74554720000003</v>
      </c>
      <c r="E194" s="43">
        <f>+E195+E196+E200+E201+E202+E203+E204+E205+E209+E210+E211+E212+E213</f>
        <v>10558.200000000004</v>
      </c>
      <c r="F194" s="43">
        <v>1180.7176798725473</v>
      </c>
      <c r="G194" s="43">
        <f>+G195+G196+G200+G201+G202+G203+G204+G205+G209+G210+G211+G212+G213</f>
        <v>10767.083120880003</v>
      </c>
      <c r="H194" s="43">
        <v>1232.0219134642778</v>
      </c>
      <c r="I194" s="43">
        <f>+I195+I196+I200+I201+I202+I203+I204+I205+I209+I210+I211+I212+I213</f>
        <v>12404.799996</v>
      </c>
      <c r="J194" s="43">
        <f t="shared" si="11"/>
        <v>2972.4851405368254</v>
      </c>
      <c r="K194" s="43">
        <f t="shared" si="12"/>
        <v>33730.083116880007</v>
      </c>
      <c r="L194" s="42"/>
    </row>
    <row r="195" spans="1:13" ht="15.75" x14ac:dyDescent="0.15">
      <c r="A195" s="32" t="s">
        <v>343</v>
      </c>
      <c r="B195" s="31" t="s">
        <v>342</v>
      </c>
      <c r="C195" s="30" t="s">
        <v>10</v>
      </c>
      <c r="D195" s="60">
        <v>0.94881599999999988</v>
      </c>
      <c r="E195" s="60">
        <v>0</v>
      </c>
      <c r="F195" s="29">
        <v>1.8643192349018918</v>
      </c>
      <c r="G195" s="60">
        <v>0</v>
      </c>
      <c r="H195" s="29">
        <v>1.9157882719298818</v>
      </c>
      <c r="I195" s="60">
        <v>0</v>
      </c>
      <c r="J195" s="29">
        <f t="shared" si="11"/>
        <v>4.728923506831773</v>
      </c>
      <c r="K195" s="60">
        <f t="shared" si="12"/>
        <v>0</v>
      </c>
      <c r="L195" s="28"/>
    </row>
    <row r="196" spans="1:13" ht="15.75" x14ac:dyDescent="0.15">
      <c r="A196" s="32" t="s">
        <v>341</v>
      </c>
      <c r="B196" s="31" t="s">
        <v>340</v>
      </c>
      <c r="C196" s="30" t="s">
        <v>10</v>
      </c>
      <c r="D196" s="29">
        <v>440.62260119999996</v>
      </c>
      <c r="E196" s="29">
        <f>+E197+E198+E199</f>
        <v>112.26585229999999</v>
      </c>
      <c r="F196" s="29">
        <v>748.32885422072366</v>
      </c>
      <c r="G196" s="29">
        <f>+G66*1.2+E297-9.82</f>
        <v>435.05400000000003</v>
      </c>
      <c r="H196" s="29">
        <v>768.99769717430001</v>
      </c>
      <c r="I196" s="29">
        <f>+I66*1.2+G297-30</f>
        <v>969.89199999999983</v>
      </c>
      <c r="J196" s="29">
        <f t="shared" si="11"/>
        <v>1957.9491525950234</v>
      </c>
      <c r="K196" s="60">
        <f t="shared" si="12"/>
        <v>1517.2118522999999</v>
      </c>
      <c r="L196" s="28"/>
    </row>
    <row r="197" spans="1:13" ht="15.75" x14ac:dyDescent="0.15">
      <c r="A197" s="32" t="s">
        <v>339</v>
      </c>
      <c r="B197" s="36" t="s">
        <v>158</v>
      </c>
      <c r="C197" s="30" t="s">
        <v>10</v>
      </c>
      <c r="D197" s="60">
        <v>0</v>
      </c>
      <c r="E197" s="60">
        <v>0</v>
      </c>
      <c r="F197" s="29">
        <v>0</v>
      </c>
      <c r="G197" s="60">
        <v>0</v>
      </c>
      <c r="H197" s="29">
        <v>0</v>
      </c>
      <c r="I197" s="60">
        <v>0</v>
      </c>
      <c r="J197" s="29">
        <f t="shared" si="11"/>
        <v>0</v>
      </c>
      <c r="K197" s="60">
        <f t="shared" si="12"/>
        <v>0</v>
      </c>
      <c r="L197" s="28"/>
    </row>
    <row r="198" spans="1:13" ht="15.75" x14ac:dyDescent="0.15">
      <c r="A198" s="32" t="s">
        <v>338</v>
      </c>
      <c r="B198" s="36" t="s">
        <v>337</v>
      </c>
      <c r="C198" s="30" t="s">
        <v>10</v>
      </c>
      <c r="D198" s="29">
        <v>0</v>
      </c>
      <c r="E198" s="29">
        <v>0</v>
      </c>
      <c r="F198" s="29">
        <v>0</v>
      </c>
      <c r="G198" s="29">
        <v>0</v>
      </c>
      <c r="H198" s="29">
        <v>0</v>
      </c>
      <c r="I198" s="29">
        <v>0</v>
      </c>
      <c r="J198" s="29">
        <f t="shared" si="11"/>
        <v>0</v>
      </c>
      <c r="K198" s="60">
        <f t="shared" si="12"/>
        <v>0</v>
      </c>
      <c r="L198" s="28"/>
    </row>
    <row r="199" spans="1:13" ht="15.75" x14ac:dyDescent="0.15">
      <c r="A199" s="32" t="s">
        <v>336</v>
      </c>
      <c r="B199" s="36" t="s">
        <v>335</v>
      </c>
      <c r="C199" s="30" t="s">
        <v>10</v>
      </c>
      <c r="D199" s="60">
        <v>440.62260119999996</v>
      </c>
      <c r="E199" s="60">
        <f>112265.8523/1000</f>
        <v>112.26585229999999</v>
      </c>
      <c r="F199" s="29">
        <v>748.32885422072366</v>
      </c>
      <c r="G199" s="60">
        <f>+G196</f>
        <v>435.05400000000003</v>
      </c>
      <c r="H199" s="29">
        <v>768.99769717430001</v>
      </c>
      <c r="I199" s="60">
        <f>+I196</f>
        <v>969.89199999999983</v>
      </c>
      <c r="J199" s="29">
        <f t="shared" si="11"/>
        <v>1957.9491525950234</v>
      </c>
      <c r="K199" s="60">
        <f t="shared" si="12"/>
        <v>1517.2118522999999</v>
      </c>
      <c r="L199" s="28"/>
    </row>
    <row r="200" spans="1:13" ht="31.5" x14ac:dyDescent="0.25">
      <c r="A200" s="32" t="s">
        <v>334</v>
      </c>
      <c r="B200" s="31" t="s">
        <v>333</v>
      </c>
      <c r="C200" s="30" t="s">
        <v>10</v>
      </c>
      <c r="D200" s="29">
        <v>0</v>
      </c>
      <c r="E200" s="29">
        <v>110.66</v>
      </c>
      <c r="F200" s="29">
        <v>177.65814002951998</v>
      </c>
      <c r="G200" s="29">
        <f>+E302+G72*1.2-25</f>
        <v>634.63599999999997</v>
      </c>
      <c r="H200" s="29">
        <v>182.561508</v>
      </c>
      <c r="I200" s="29">
        <f>+G302+I72*1.2-30</f>
        <v>680.68</v>
      </c>
      <c r="J200" s="29">
        <f t="shared" si="11"/>
        <v>360.21964802951999</v>
      </c>
      <c r="K200" s="60">
        <f t="shared" si="12"/>
        <v>1425.9759999999999</v>
      </c>
      <c r="L200" s="28"/>
      <c r="M200" s="64"/>
    </row>
    <row r="201" spans="1:13" ht="31.5" x14ac:dyDescent="0.15">
      <c r="A201" s="32" t="s">
        <v>332</v>
      </c>
      <c r="B201" s="31" t="s">
        <v>331</v>
      </c>
      <c r="C201" s="30" t="s">
        <v>10</v>
      </c>
      <c r="D201" s="60">
        <v>0</v>
      </c>
      <c r="E201" s="60">
        <f>10218.73-E200</f>
        <v>10108.07</v>
      </c>
      <c r="F201" s="29">
        <v>0</v>
      </c>
      <c r="G201" s="60">
        <f>+E304+G73*1.2-955.56</f>
        <v>9012.1820000000007</v>
      </c>
      <c r="H201" s="29">
        <v>0</v>
      </c>
      <c r="I201" s="60">
        <f>+G304+I73*1.2-854.65</f>
        <v>9613.196047999998</v>
      </c>
      <c r="J201" s="29">
        <f t="shared" si="11"/>
        <v>0</v>
      </c>
      <c r="K201" s="60">
        <f t="shared" si="12"/>
        <v>28733.448047999998</v>
      </c>
      <c r="L201" s="28"/>
    </row>
    <row r="202" spans="1:13" ht="15.75" x14ac:dyDescent="0.15">
      <c r="A202" s="32" t="s">
        <v>330</v>
      </c>
      <c r="B202" s="31" t="s">
        <v>329</v>
      </c>
      <c r="C202" s="30" t="s">
        <v>10</v>
      </c>
      <c r="D202" s="29">
        <v>0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f t="shared" si="11"/>
        <v>0</v>
      </c>
      <c r="K202" s="60">
        <f t="shared" si="12"/>
        <v>0</v>
      </c>
      <c r="L202" s="28"/>
    </row>
    <row r="203" spans="1:13" ht="15.75" x14ac:dyDescent="0.15">
      <c r="A203" s="32" t="s">
        <v>328</v>
      </c>
      <c r="B203" s="31" t="s">
        <v>327</v>
      </c>
      <c r="C203" s="30" t="s">
        <v>10</v>
      </c>
      <c r="D203" s="60">
        <v>37.62371126228269</v>
      </c>
      <c r="E203" s="60">
        <v>13.37</v>
      </c>
      <c r="F203" s="29">
        <v>72.864026453322779</v>
      </c>
      <c r="G203" s="60">
        <f>+G77/1.304</f>
        <v>36.249949999999991</v>
      </c>
      <c r="H203" s="29">
        <v>75.910100726773479</v>
      </c>
      <c r="I203" s="60">
        <f>+I77/1.304</f>
        <v>187.3684417177914</v>
      </c>
      <c r="J203" s="29">
        <f t="shared" si="11"/>
        <v>186.39783844237894</v>
      </c>
      <c r="K203" s="60">
        <f t="shared" si="12"/>
        <v>236.98839171779139</v>
      </c>
      <c r="L203" s="28"/>
    </row>
    <row r="204" spans="1:13" ht="15.75" x14ac:dyDescent="0.15">
      <c r="A204" s="32" t="s">
        <v>326</v>
      </c>
      <c r="B204" s="31" t="s">
        <v>325</v>
      </c>
      <c r="C204" s="30" t="s">
        <v>10</v>
      </c>
      <c r="D204" s="29">
        <v>12.152458737717307</v>
      </c>
      <c r="E204" s="29">
        <v>3.47</v>
      </c>
      <c r="F204" s="29">
        <v>23.535080544423256</v>
      </c>
      <c r="G204" s="29">
        <f>+G77-G203</f>
        <v>11.019984800000003</v>
      </c>
      <c r="H204" s="29">
        <v>24.518962534747828</v>
      </c>
      <c r="I204" s="29">
        <f>+I77-I203</f>
        <v>56.96000628220861</v>
      </c>
      <c r="J204" s="29">
        <f t="shared" si="11"/>
        <v>60.206501816888391</v>
      </c>
      <c r="K204" s="60">
        <f t="shared" si="12"/>
        <v>71.449991082208612</v>
      </c>
      <c r="L204" s="28"/>
    </row>
    <row r="205" spans="1:13" ht="15.75" x14ac:dyDescent="0.15">
      <c r="A205" s="21" t="s">
        <v>324</v>
      </c>
      <c r="B205" s="22" t="s">
        <v>323</v>
      </c>
      <c r="C205" s="19" t="s">
        <v>10</v>
      </c>
      <c r="D205" s="60">
        <v>0.13319999999999999</v>
      </c>
      <c r="E205" s="60">
        <f>+E206+E207+E208</f>
        <v>114.21000000000001</v>
      </c>
      <c r="F205" s="29">
        <v>7.9397257500000471</v>
      </c>
      <c r="G205" s="60">
        <f>+G206+G207+G208</f>
        <v>5.891286080000282</v>
      </c>
      <c r="H205" s="29">
        <v>40.606332500000022</v>
      </c>
      <c r="I205" s="60">
        <f>+I206+I207+I208</f>
        <v>21.547500000000039</v>
      </c>
      <c r="J205" s="29">
        <f t="shared" si="11"/>
        <v>48.679258250000068</v>
      </c>
      <c r="K205" s="60">
        <f t="shared" si="12"/>
        <v>141.64878608000032</v>
      </c>
      <c r="L205" s="28"/>
    </row>
    <row r="206" spans="1:13" ht="15.75" x14ac:dyDescent="0.15">
      <c r="A206" s="21" t="s">
        <v>322</v>
      </c>
      <c r="B206" s="20" t="s">
        <v>321</v>
      </c>
      <c r="C206" s="19" t="s">
        <v>10</v>
      </c>
      <c r="D206" s="29">
        <v>0.13319999999999999</v>
      </c>
      <c r="E206" s="29">
        <v>0</v>
      </c>
      <c r="F206" s="29">
        <v>6.1308950000000468</v>
      </c>
      <c r="G206" s="29">
        <v>0</v>
      </c>
      <c r="H206" s="29">
        <v>13.27786250000003</v>
      </c>
      <c r="I206" s="29">
        <v>0</v>
      </c>
      <c r="J206" s="29">
        <f t="shared" si="11"/>
        <v>19.541957500000077</v>
      </c>
      <c r="K206" s="60">
        <f t="shared" si="12"/>
        <v>0</v>
      </c>
      <c r="L206" s="28"/>
    </row>
    <row r="207" spans="1:13" ht="15.75" x14ac:dyDescent="0.15">
      <c r="A207" s="21" t="s">
        <v>320</v>
      </c>
      <c r="B207" s="20" t="s">
        <v>319</v>
      </c>
      <c r="C207" s="19" t="s">
        <v>10</v>
      </c>
      <c r="D207" s="60">
        <v>0</v>
      </c>
      <c r="E207" s="29">
        <v>0</v>
      </c>
      <c r="F207" s="29">
        <v>1.4197837500000001</v>
      </c>
      <c r="G207" s="29">
        <v>0</v>
      </c>
      <c r="H207" s="29">
        <v>26.939419999999998</v>
      </c>
      <c r="I207" s="29">
        <v>0</v>
      </c>
      <c r="J207" s="29">
        <f t="shared" si="11"/>
        <v>28.359203749999999</v>
      </c>
      <c r="K207" s="60">
        <f t="shared" si="12"/>
        <v>0</v>
      </c>
      <c r="L207" s="28"/>
    </row>
    <row r="208" spans="1:13" ht="15.75" x14ac:dyDescent="0.15">
      <c r="A208" s="21" t="s">
        <v>318</v>
      </c>
      <c r="B208" s="20" t="s">
        <v>317</v>
      </c>
      <c r="C208" s="19" t="s">
        <v>10</v>
      </c>
      <c r="D208" s="29">
        <v>0</v>
      </c>
      <c r="E208" s="29">
        <f>111.95+2.26</f>
        <v>114.21000000000001</v>
      </c>
      <c r="F208" s="29">
        <v>0.38904700000000003</v>
      </c>
      <c r="G208" s="29">
        <f>+G133</f>
        <v>5.891286080000282</v>
      </c>
      <c r="H208" s="29">
        <v>0.38905000000000001</v>
      </c>
      <c r="I208" s="29">
        <f>+I133</f>
        <v>21.547500000000039</v>
      </c>
      <c r="J208" s="29">
        <f t="shared" ref="J208:J239" si="13">+D208+F208+H208</f>
        <v>0.77809700000000004</v>
      </c>
      <c r="K208" s="60">
        <f t="shared" ref="K208:K239" si="14">+E208+G208+I208</f>
        <v>141.64878608000032</v>
      </c>
      <c r="L208" s="28"/>
    </row>
    <row r="209" spans="1:13" ht="15.75" x14ac:dyDescent="0.15">
      <c r="A209" s="32" t="s">
        <v>316</v>
      </c>
      <c r="B209" s="31" t="s">
        <v>315</v>
      </c>
      <c r="C209" s="30" t="s">
        <v>10</v>
      </c>
      <c r="D209" s="60">
        <v>3.8052000000000002E-2</v>
      </c>
      <c r="E209" s="60">
        <v>3.6999999999999998E-2</v>
      </c>
      <c r="F209" s="29">
        <v>7.4747999999999995E-2</v>
      </c>
      <c r="G209" s="60">
        <f>+G70*1.2</f>
        <v>0.34799999999999998</v>
      </c>
      <c r="H209" s="29">
        <v>7.6836000000000002E-2</v>
      </c>
      <c r="I209" s="60">
        <f>+I70*1.2</f>
        <v>1.9799999999999998</v>
      </c>
      <c r="J209" s="29">
        <f t="shared" si="13"/>
        <v>0.189636</v>
      </c>
      <c r="K209" s="60">
        <f t="shared" si="14"/>
        <v>2.3649999999999998</v>
      </c>
      <c r="L209" s="28"/>
    </row>
    <row r="210" spans="1:13" ht="15.75" x14ac:dyDescent="0.15">
      <c r="A210" s="32" t="s">
        <v>314</v>
      </c>
      <c r="B210" s="31" t="s">
        <v>313</v>
      </c>
      <c r="C210" s="30" t="s">
        <v>10</v>
      </c>
      <c r="D210" s="29">
        <v>25.222871999999995</v>
      </c>
      <c r="E210" s="29">
        <f>52.74+0.79</f>
        <v>53.53</v>
      </c>
      <c r="F210" s="29">
        <v>49.559662148660557</v>
      </c>
      <c r="G210" s="29">
        <f>G76*1.17</f>
        <v>553.49190000000021</v>
      </c>
      <c r="H210" s="29">
        <v>50.928500017206566</v>
      </c>
      <c r="I210" s="29">
        <f>I76*1.17</f>
        <v>764.94599999999991</v>
      </c>
      <c r="J210" s="29">
        <f t="shared" si="13"/>
        <v>125.71103416586712</v>
      </c>
      <c r="K210" s="60">
        <f t="shared" si="14"/>
        <v>1371.9679000000001</v>
      </c>
      <c r="L210" s="28"/>
    </row>
    <row r="211" spans="1:13" ht="15.75" x14ac:dyDescent="0.15">
      <c r="A211" s="32" t="s">
        <v>312</v>
      </c>
      <c r="B211" s="31" t="s">
        <v>311</v>
      </c>
      <c r="C211" s="30" t="s">
        <v>10</v>
      </c>
      <c r="D211" s="60">
        <v>0.36899999999999999</v>
      </c>
      <c r="E211" s="60">
        <v>0.79</v>
      </c>
      <c r="F211" s="29">
        <v>1.4584577955037532</v>
      </c>
      <c r="G211" s="60">
        <f>+G84</f>
        <v>12.87</v>
      </c>
      <c r="H211" s="29">
        <v>1.4987225173195671</v>
      </c>
      <c r="I211" s="60">
        <f>+I84</f>
        <v>12.87</v>
      </c>
      <c r="J211" s="29">
        <f t="shared" si="13"/>
        <v>3.3261803128233201</v>
      </c>
      <c r="K211" s="60">
        <f t="shared" si="14"/>
        <v>26.53</v>
      </c>
      <c r="L211" s="28"/>
    </row>
    <row r="212" spans="1:13" ht="31.5" x14ac:dyDescent="0.15">
      <c r="A212" s="32" t="s">
        <v>310</v>
      </c>
      <c r="B212" s="31" t="s">
        <v>309</v>
      </c>
      <c r="C212" s="30" t="s">
        <v>10</v>
      </c>
      <c r="D212" s="29">
        <v>0.53400000000000003</v>
      </c>
      <c r="E212" s="29">
        <v>0.83</v>
      </c>
      <c r="F212" s="29">
        <v>0</v>
      </c>
      <c r="G212" s="29">
        <v>0</v>
      </c>
      <c r="H212" s="29">
        <v>0</v>
      </c>
      <c r="I212" s="29">
        <v>0</v>
      </c>
      <c r="J212" s="29">
        <f t="shared" si="13"/>
        <v>0.53400000000000003</v>
      </c>
      <c r="K212" s="60">
        <f t="shared" si="14"/>
        <v>0.83</v>
      </c>
      <c r="L212" s="28"/>
    </row>
    <row r="213" spans="1:13" ht="15.75" x14ac:dyDescent="0.25">
      <c r="A213" s="32" t="s">
        <v>308</v>
      </c>
      <c r="B213" s="31" t="s">
        <v>307</v>
      </c>
      <c r="C213" s="30" t="s">
        <v>10</v>
      </c>
      <c r="D213" s="60">
        <v>42.100836000000008</v>
      </c>
      <c r="E213" s="60">
        <f>10558.2-E195-E196-E200-E201-E203-E204-E205-E210-E211-E212-E209</f>
        <v>40.967147700002059</v>
      </c>
      <c r="F213" s="29">
        <v>97.434665695491205</v>
      </c>
      <c r="G213" s="60">
        <v>65.34</v>
      </c>
      <c r="H213" s="29">
        <v>85.00746572200066</v>
      </c>
      <c r="I213" s="60">
        <v>95.36</v>
      </c>
      <c r="J213" s="29">
        <f t="shared" si="13"/>
        <v>224.54296741749187</v>
      </c>
      <c r="K213" s="60">
        <f t="shared" si="14"/>
        <v>201.66714770000206</v>
      </c>
      <c r="L213" s="28"/>
      <c r="M213" s="64"/>
    </row>
    <row r="214" spans="1:13" s="54" customFormat="1" ht="15.75" x14ac:dyDescent="0.25">
      <c r="A214" s="15" t="s">
        <v>306</v>
      </c>
      <c r="B214" s="14" t="s">
        <v>305</v>
      </c>
      <c r="C214" s="13" t="s">
        <v>10</v>
      </c>
      <c r="D214" s="43">
        <v>3010.5</v>
      </c>
      <c r="E214" s="43">
        <f>+E217</f>
        <v>2381.19</v>
      </c>
      <c r="F214" s="43">
        <f>F215+F216+F220</f>
        <v>4039.6699999999996</v>
      </c>
      <c r="G214" s="43">
        <f>+G217</f>
        <v>4828.59</v>
      </c>
      <c r="H214" s="43">
        <f>H215+H216+H220</f>
        <v>3958.6499999999996</v>
      </c>
      <c r="I214" s="43">
        <f>+I217</f>
        <v>3000</v>
      </c>
      <c r="J214" s="43">
        <f t="shared" si="13"/>
        <v>11008.82</v>
      </c>
      <c r="K214" s="43">
        <f t="shared" si="14"/>
        <v>10209.780000000001</v>
      </c>
      <c r="L214" s="42"/>
    </row>
    <row r="215" spans="1:13" ht="15.75" x14ac:dyDescent="0.15">
      <c r="A215" s="32" t="s">
        <v>304</v>
      </c>
      <c r="B215" s="31" t="s">
        <v>303</v>
      </c>
      <c r="C215" s="30" t="s">
        <v>10</v>
      </c>
      <c r="D215" s="60">
        <v>0</v>
      </c>
      <c r="E215" s="60">
        <v>0</v>
      </c>
      <c r="F215" s="18">
        <v>0</v>
      </c>
      <c r="G215" s="60">
        <v>0</v>
      </c>
      <c r="H215" s="29">
        <v>0</v>
      </c>
      <c r="I215" s="60">
        <v>0</v>
      </c>
      <c r="J215" s="29">
        <f t="shared" si="13"/>
        <v>0</v>
      </c>
      <c r="K215" s="60">
        <f t="shared" si="14"/>
        <v>0</v>
      </c>
      <c r="L215" s="28"/>
    </row>
    <row r="216" spans="1:13" ht="15.75" x14ac:dyDescent="0.15">
      <c r="A216" s="32" t="s">
        <v>302</v>
      </c>
      <c r="B216" s="31" t="s">
        <v>301</v>
      </c>
      <c r="C216" s="30" t="s">
        <v>10</v>
      </c>
      <c r="D216" s="29">
        <v>3010.5</v>
      </c>
      <c r="E216" s="29">
        <v>0</v>
      </c>
      <c r="F216" s="18">
        <f>F217</f>
        <v>3996.68</v>
      </c>
      <c r="G216" s="29">
        <f>+G217</f>
        <v>4828.59</v>
      </c>
      <c r="H216" s="18">
        <f>H217</f>
        <v>3115.1</v>
      </c>
      <c r="I216" s="18">
        <f>+I217</f>
        <v>3000</v>
      </c>
      <c r="J216" s="29">
        <f t="shared" si="13"/>
        <v>10122.280000000001</v>
      </c>
      <c r="K216" s="60">
        <f t="shared" si="14"/>
        <v>7828.59</v>
      </c>
      <c r="L216" s="28"/>
    </row>
    <row r="217" spans="1:13" ht="31.5" x14ac:dyDescent="0.15">
      <c r="A217" s="32" t="s">
        <v>300</v>
      </c>
      <c r="B217" s="36" t="s">
        <v>299</v>
      </c>
      <c r="C217" s="30" t="s">
        <v>10</v>
      </c>
      <c r="D217" s="29">
        <v>3010.5</v>
      </c>
      <c r="E217" s="29">
        <v>2381.19</v>
      </c>
      <c r="F217" s="18">
        <f>F218+F219</f>
        <v>3996.68</v>
      </c>
      <c r="G217" s="29">
        <f>+G218</f>
        <v>4828.59</v>
      </c>
      <c r="H217" s="18">
        <f>H218+H219</f>
        <v>3115.1</v>
      </c>
      <c r="I217" s="18">
        <f>+I218</f>
        <v>3000</v>
      </c>
      <c r="J217" s="29">
        <f t="shared" si="13"/>
        <v>10122.280000000001</v>
      </c>
      <c r="K217" s="60">
        <f t="shared" si="14"/>
        <v>10209.780000000001</v>
      </c>
      <c r="L217" s="63"/>
    </row>
    <row r="218" spans="1:13" ht="15.75" x14ac:dyDescent="0.15">
      <c r="A218" s="32" t="s">
        <v>298</v>
      </c>
      <c r="B218" s="36" t="s">
        <v>297</v>
      </c>
      <c r="C218" s="30" t="s">
        <v>10</v>
      </c>
      <c r="D218" s="29">
        <v>3010.5</v>
      </c>
      <c r="E218" s="29">
        <f>+E217</f>
        <v>2381.19</v>
      </c>
      <c r="F218" s="18">
        <v>3996.68</v>
      </c>
      <c r="G218" s="29">
        <f>367.6+1166.49+47.12+2415.49+542.67+289.22</f>
        <v>4828.59</v>
      </c>
      <c r="H218" s="18">
        <v>3115.1</v>
      </c>
      <c r="I218" s="18">
        <v>3000</v>
      </c>
      <c r="J218" s="29">
        <f t="shared" si="13"/>
        <v>10122.280000000001</v>
      </c>
      <c r="K218" s="60">
        <f t="shared" si="14"/>
        <v>10209.780000000001</v>
      </c>
      <c r="L218" s="52"/>
    </row>
    <row r="219" spans="1:13" ht="16.5" customHeight="1" x14ac:dyDescent="0.15">
      <c r="A219" s="32" t="s">
        <v>296</v>
      </c>
      <c r="B219" s="36" t="s">
        <v>295</v>
      </c>
      <c r="C219" s="30" t="s">
        <v>10</v>
      </c>
      <c r="D219" s="58">
        <v>0</v>
      </c>
      <c r="E219" s="58">
        <v>0</v>
      </c>
      <c r="F219" s="58">
        <v>0</v>
      </c>
      <c r="G219" s="58">
        <v>0</v>
      </c>
      <c r="H219" s="58">
        <v>0</v>
      </c>
      <c r="I219" s="58">
        <v>0</v>
      </c>
      <c r="J219" s="29">
        <f t="shared" si="13"/>
        <v>0</v>
      </c>
      <c r="K219" s="60">
        <f t="shared" si="14"/>
        <v>0</v>
      </c>
      <c r="L219" s="52"/>
    </row>
    <row r="220" spans="1:13" ht="15.75" x14ac:dyDescent="0.25">
      <c r="A220" s="32" t="s">
        <v>294</v>
      </c>
      <c r="B220" s="31" t="s">
        <v>293</v>
      </c>
      <c r="C220" s="30" t="s">
        <v>10</v>
      </c>
      <c r="D220" s="66">
        <v>0</v>
      </c>
      <c r="E220" s="66">
        <v>0</v>
      </c>
      <c r="F220" s="58">
        <v>42.99</v>
      </c>
      <c r="G220" s="66">
        <v>0</v>
      </c>
      <c r="H220" s="58">
        <v>843.55</v>
      </c>
      <c r="I220" s="116">
        <v>0</v>
      </c>
      <c r="J220" s="29">
        <f t="shared" si="13"/>
        <v>886.54</v>
      </c>
      <c r="K220" s="60">
        <f t="shared" si="14"/>
        <v>0</v>
      </c>
      <c r="L220" s="65"/>
      <c r="M220" s="64"/>
    </row>
    <row r="221" spans="1:13" s="54" customFormat="1" ht="15.75" x14ac:dyDescent="0.25">
      <c r="A221" s="15" t="s">
        <v>292</v>
      </c>
      <c r="B221" s="14" t="s">
        <v>291</v>
      </c>
      <c r="C221" s="13" t="s">
        <v>10</v>
      </c>
      <c r="D221" s="43">
        <v>2436.6</v>
      </c>
      <c r="E221" s="43">
        <f>+E222+E229+E230+E231</f>
        <v>110.28999999999999</v>
      </c>
      <c r="F221" s="43">
        <f>F222+F229+F230+F231</f>
        <v>4039.6699999999996</v>
      </c>
      <c r="G221" s="43">
        <f>+G222+G229+G230+G231</f>
        <v>1127.6474166399998</v>
      </c>
      <c r="H221" s="43">
        <f>H222+H229+H230+H231</f>
        <v>3958.6499999999996</v>
      </c>
      <c r="I221" s="43">
        <f>+I222+I229+I230+I231</f>
        <v>8126.8073776417832</v>
      </c>
      <c r="J221" s="43">
        <f t="shared" si="13"/>
        <v>10434.919999999998</v>
      </c>
      <c r="K221" s="43">
        <f t="shared" si="14"/>
        <v>9364.7447942817835</v>
      </c>
      <c r="L221" s="42"/>
    </row>
    <row r="222" spans="1:13" ht="15.75" x14ac:dyDescent="0.15">
      <c r="A222" s="35" t="s">
        <v>290</v>
      </c>
      <c r="B222" s="31" t="s">
        <v>289</v>
      </c>
      <c r="C222" s="30" t="s">
        <v>10</v>
      </c>
      <c r="D222" s="60">
        <v>0</v>
      </c>
      <c r="E222" s="60">
        <f>+E223+E224+E225+E226+E227+E228</f>
        <v>110.28999999999999</v>
      </c>
      <c r="F222" s="18">
        <f>SUM(F223:F228)</f>
        <v>4039.6699999999996</v>
      </c>
      <c r="G222" s="60">
        <f>+G223+G224+G225+G226+G227+G228</f>
        <v>1127.6474166399998</v>
      </c>
      <c r="H222" s="18">
        <f>SUM(H223:H228)</f>
        <v>3958.6499999999996</v>
      </c>
      <c r="I222" s="60">
        <f>+I223+I224+I225+I226+I227+I228</f>
        <v>8126.8073776417832</v>
      </c>
      <c r="J222" s="29">
        <f t="shared" si="13"/>
        <v>7998.32</v>
      </c>
      <c r="K222" s="60">
        <f t="shared" si="14"/>
        <v>9364.7447942817835</v>
      </c>
      <c r="L222" s="17"/>
    </row>
    <row r="223" spans="1:13" ht="15.75" x14ac:dyDescent="0.15">
      <c r="A223" s="32" t="s">
        <v>288</v>
      </c>
      <c r="B223" s="36" t="s">
        <v>287</v>
      </c>
      <c r="C223" s="30" t="s">
        <v>10</v>
      </c>
      <c r="D223" s="60">
        <v>0</v>
      </c>
      <c r="E223" s="60">
        <v>0</v>
      </c>
      <c r="F223" s="18">
        <v>42.99</v>
      </c>
      <c r="G223" s="60">
        <f>+'[3]2(1)'!AZ149</f>
        <v>8.93</v>
      </c>
      <c r="H223" s="60">
        <v>843.55</v>
      </c>
      <c r="I223" s="60">
        <f>+'[3]2(1)'!BL149</f>
        <v>1024.8693776417817</v>
      </c>
      <c r="J223" s="29">
        <f t="shared" si="13"/>
        <v>886.54</v>
      </c>
      <c r="K223" s="60">
        <f t="shared" si="14"/>
        <v>1033.7993776417818</v>
      </c>
      <c r="L223" s="17"/>
    </row>
    <row r="224" spans="1:13" ht="15.75" x14ac:dyDescent="0.15">
      <c r="A224" s="32" t="s">
        <v>286</v>
      </c>
      <c r="B224" s="36" t="s">
        <v>285</v>
      </c>
      <c r="C224" s="30" t="s">
        <v>10</v>
      </c>
      <c r="D224" s="60">
        <v>2436.6</v>
      </c>
      <c r="E224" s="60">
        <v>0</v>
      </c>
      <c r="F224" s="18">
        <v>3996.68</v>
      </c>
      <c r="G224" s="60">
        <f>+'[3]2(1)'!AZ150</f>
        <v>728.9513199999999</v>
      </c>
      <c r="H224" s="60">
        <v>3115.1</v>
      </c>
      <c r="I224" s="60">
        <f>+'[3]2(1)'!BL150</f>
        <v>6498.0807600000016</v>
      </c>
      <c r="J224" s="29">
        <f t="shared" si="13"/>
        <v>9548.3799999999992</v>
      </c>
      <c r="K224" s="60">
        <f t="shared" si="14"/>
        <v>7227.0320800000018</v>
      </c>
      <c r="L224" s="17"/>
    </row>
    <row r="225" spans="1:12" ht="15.75" x14ac:dyDescent="0.15">
      <c r="A225" s="32" t="s">
        <v>284</v>
      </c>
      <c r="B225" s="36" t="s">
        <v>283</v>
      </c>
      <c r="C225" s="30" t="s">
        <v>10</v>
      </c>
      <c r="D225" s="60">
        <v>0</v>
      </c>
      <c r="E225" s="60">
        <v>108.8</v>
      </c>
      <c r="F225" s="18">
        <v>0</v>
      </c>
      <c r="G225" s="60">
        <f>+'[3]2(1)'!AZ151</f>
        <v>370.41668000000004</v>
      </c>
      <c r="H225" s="60">
        <v>0</v>
      </c>
      <c r="I225" s="60">
        <f>+'[3]2(1)'!BL151</f>
        <v>603.85724000000005</v>
      </c>
      <c r="J225" s="29">
        <f t="shared" si="13"/>
        <v>0</v>
      </c>
      <c r="K225" s="60">
        <f t="shared" si="14"/>
        <v>1083.07392</v>
      </c>
      <c r="L225" s="17"/>
    </row>
    <row r="226" spans="1:12" ht="15.75" x14ac:dyDescent="0.15">
      <c r="A226" s="32" t="s">
        <v>282</v>
      </c>
      <c r="B226" s="36" t="s">
        <v>281</v>
      </c>
      <c r="C226" s="30" t="s">
        <v>10</v>
      </c>
      <c r="D226" s="60">
        <v>0</v>
      </c>
      <c r="E226" s="60">
        <v>1.49</v>
      </c>
      <c r="F226" s="60">
        <v>0</v>
      </c>
      <c r="G226" s="60">
        <f>+'[3]2(1)'!AZ152</f>
        <v>0</v>
      </c>
      <c r="H226" s="60">
        <v>0</v>
      </c>
      <c r="I226" s="60">
        <f>+'[3]2(1)'!BL152</f>
        <v>0</v>
      </c>
      <c r="J226" s="29">
        <f t="shared" si="13"/>
        <v>0</v>
      </c>
      <c r="K226" s="60">
        <f t="shared" si="14"/>
        <v>1.49</v>
      </c>
      <c r="L226" s="17"/>
    </row>
    <row r="227" spans="1:12" ht="15.75" x14ac:dyDescent="0.15">
      <c r="A227" s="32" t="s">
        <v>280</v>
      </c>
      <c r="B227" s="36" t="s">
        <v>279</v>
      </c>
      <c r="C227" s="30" t="s">
        <v>10</v>
      </c>
      <c r="D227" s="53">
        <v>0</v>
      </c>
      <c r="E227" s="53">
        <v>0</v>
      </c>
      <c r="F227" s="53">
        <v>0</v>
      </c>
      <c r="G227" s="60">
        <f>+'[3]2(1)'!AZ153</f>
        <v>0</v>
      </c>
      <c r="H227" s="53">
        <v>0</v>
      </c>
      <c r="I227" s="60">
        <f>+'[3]2(1)'!BL153</f>
        <v>0</v>
      </c>
      <c r="J227" s="29">
        <f t="shared" si="13"/>
        <v>0</v>
      </c>
      <c r="K227" s="60">
        <f t="shared" si="14"/>
        <v>0</v>
      </c>
      <c r="L227" s="63"/>
    </row>
    <row r="228" spans="1:12" ht="15.75" x14ac:dyDescent="0.15">
      <c r="A228" s="32" t="s">
        <v>278</v>
      </c>
      <c r="B228" s="36" t="s">
        <v>277</v>
      </c>
      <c r="C228" s="30" t="s">
        <v>10</v>
      </c>
      <c r="D228" s="53">
        <v>0</v>
      </c>
      <c r="E228" s="53">
        <v>0</v>
      </c>
      <c r="F228" s="53">
        <v>0</v>
      </c>
      <c r="G228" s="60">
        <f>+'[3]2(1)'!AZ154</f>
        <v>19.349416640000001</v>
      </c>
      <c r="H228" s="53">
        <v>0</v>
      </c>
      <c r="I228" s="60">
        <f>+'[3]2(1)'!BL154</f>
        <v>0</v>
      </c>
      <c r="J228" s="29">
        <f t="shared" si="13"/>
        <v>0</v>
      </c>
      <c r="K228" s="60">
        <f t="shared" si="14"/>
        <v>19.349416640000001</v>
      </c>
      <c r="L228" s="63"/>
    </row>
    <row r="229" spans="1:12" ht="15.75" x14ac:dyDescent="0.15">
      <c r="A229" s="32" t="s">
        <v>276</v>
      </c>
      <c r="B229" s="31" t="s">
        <v>275</v>
      </c>
      <c r="C229" s="30" t="s">
        <v>10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29">
        <f t="shared" si="13"/>
        <v>0</v>
      </c>
      <c r="K229" s="60">
        <f t="shared" si="14"/>
        <v>0</v>
      </c>
      <c r="L229" s="52"/>
    </row>
    <row r="230" spans="1:12" ht="15.75" x14ac:dyDescent="0.15">
      <c r="A230" s="32" t="s">
        <v>274</v>
      </c>
      <c r="B230" s="31" t="s">
        <v>273</v>
      </c>
      <c r="C230" s="30" t="s">
        <v>10</v>
      </c>
      <c r="D230" s="58">
        <v>0</v>
      </c>
      <c r="E230" s="58">
        <v>0</v>
      </c>
      <c r="F230" s="58">
        <v>0</v>
      </c>
      <c r="G230" s="58">
        <v>0</v>
      </c>
      <c r="H230" s="58">
        <v>0</v>
      </c>
      <c r="I230" s="58">
        <v>0</v>
      </c>
      <c r="J230" s="29">
        <f t="shared" si="13"/>
        <v>0</v>
      </c>
      <c r="K230" s="60">
        <f t="shared" si="14"/>
        <v>0</v>
      </c>
      <c r="L230" s="52"/>
    </row>
    <row r="231" spans="1:12" ht="15.75" x14ac:dyDescent="0.15">
      <c r="A231" s="32" t="s">
        <v>272</v>
      </c>
      <c r="B231" s="31" t="s">
        <v>209</v>
      </c>
      <c r="C231" s="30" t="s">
        <v>34</v>
      </c>
      <c r="D231" s="58">
        <v>0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29">
        <f t="shared" si="13"/>
        <v>0</v>
      </c>
      <c r="K231" s="60">
        <f t="shared" si="14"/>
        <v>0</v>
      </c>
      <c r="L231" s="52"/>
    </row>
    <row r="232" spans="1:12" ht="31.5" x14ac:dyDescent="0.15">
      <c r="A232" s="32" t="s">
        <v>271</v>
      </c>
      <c r="B232" s="36" t="s">
        <v>270</v>
      </c>
      <c r="C232" s="30" t="s">
        <v>10</v>
      </c>
      <c r="D232" s="58">
        <v>0</v>
      </c>
      <c r="E232" s="58">
        <v>0</v>
      </c>
      <c r="F232" s="58">
        <v>0</v>
      </c>
      <c r="G232" s="58">
        <v>0</v>
      </c>
      <c r="H232" s="58">
        <v>0</v>
      </c>
      <c r="I232" s="58">
        <v>0</v>
      </c>
      <c r="J232" s="29">
        <f t="shared" si="13"/>
        <v>0</v>
      </c>
      <c r="K232" s="60">
        <f t="shared" si="14"/>
        <v>0</v>
      </c>
      <c r="L232" s="52"/>
    </row>
    <row r="233" spans="1:12" s="54" customFormat="1" ht="15.75" x14ac:dyDescent="0.25">
      <c r="A233" s="15" t="s">
        <v>269</v>
      </c>
      <c r="B233" s="14" t="s">
        <v>268</v>
      </c>
      <c r="C233" s="13" t="s">
        <v>10</v>
      </c>
      <c r="D233" s="62">
        <v>1.2</v>
      </c>
      <c r="E233" s="62">
        <f>+E234+E235+E239+E240+E243+E244+E245</f>
        <v>2.54</v>
      </c>
      <c r="F233" s="62">
        <v>253.00641999999999</v>
      </c>
      <c r="G233" s="62">
        <f>+G234+G235+G239+G240+G243+G244+G245</f>
        <v>5</v>
      </c>
      <c r="H233" s="62">
        <v>1582.2085500000001</v>
      </c>
      <c r="I233" s="62">
        <f>+I234+I235+I239+I240+I243+I244+I245</f>
        <v>926.44137764178208</v>
      </c>
      <c r="J233" s="62">
        <f t="shared" si="13"/>
        <v>1836.41497</v>
      </c>
      <c r="K233" s="62">
        <f t="shared" si="14"/>
        <v>933.98137764178205</v>
      </c>
      <c r="L233" s="55"/>
    </row>
    <row r="234" spans="1:12" ht="15.75" x14ac:dyDescent="0.15">
      <c r="A234" s="35" t="s">
        <v>267</v>
      </c>
      <c r="B234" s="34" t="s">
        <v>266</v>
      </c>
      <c r="C234" s="33" t="s">
        <v>10</v>
      </c>
      <c r="D234" s="53">
        <v>1.2</v>
      </c>
      <c r="E234" s="53">
        <v>2.54</v>
      </c>
      <c r="F234" s="53">
        <v>1.2</v>
      </c>
      <c r="G234" s="53">
        <f>+G108</f>
        <v>5</v>
      </c>
      <c r="H234" s="53">
        <v>1.2</v>
      </c>
      <c r="I234" s="53">
        <f>+I108</f>
        <v>5</v>
      </c>
      <c r="J234" s="29">
        <f t="shared" si="13"/>
        <v>3.5999999999999996</v>
      </c>
      <c r="K234" s="60">
        <f t="shared" si="14"/>
        <v>12.54</v>
      </c>
      <c r="L234" s="63"/>
    </row>
    <row r="235" spans="1:12" ht="15.75" x14ac:dyDescent="0.15">
      <c r="A235" s="35" t="s">
        <v>265</v>
      </c>
      <c r="B235" s="34" t="s">
        <v>264</v>
      </c>
      <c r="C235" s="33" t="s">
        <v>10</v>
      </c>
      <c r="D235" s="53">
        <v>0</v>
      </c>
      <c r="E235" s="53">
        <v>0</v>
      </c>
      <c r="F235" s="53">
        <v>251.80642</v>
      </c>
      <c r="G235" s="53">
        <v>0</v>
      </c>
      <c r="H235" s="53">
        <v>1581.00855</v>
      </c>
      <c r="I235" s="53">
        <f>+I236+I237+I238</f>
        <v>921.44137764178208</v>
      </c>
      <c r="J235" s="29">
        <f t="shared" si="13"/>
        <v>1832.8149699999999</v>
      </c>
      <c r="K235" s="60">
        <f t="shared" si="14"/>
        <v>921.44137764178208</v>
      </c>
      <c r="L235" s="63"/>
    </row>
    <row r="236" spans="1:12" ht="15.75" x14ac:dyDescent="0.15">
      <c r="A236" s="35" t="s">
        <v>263</v>
      </c>
      <c r="B236" s="61" t="s">
        <v>241</v>
      </c>
      <c r="C236" s="33" t="s">
        <v>10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29">
        <f t="shared" si="13"/>
        <v>0</v>
      </c>
      <c r="K236" s="60">
        <f t="shared" si="14"/>
        <v>0</v>
      </c>
      <c r="L236" s="63"/>
    </row>
    <row r="237" spans="1:12" ht="15.75" x14ac:dyDescent="0.15">
      <c r="A237" s="35" t="s">
        <v>262</v>
      </c>
      <c r="B237" s="61" t="s">
        <v>239</v>
      </c>
      <c r="C237" s="33" t="s">
        <v>10</v>
      </c>
      <c r="D237" s="53">
        <v>0</v>
      </c>
      <c r="E237" s="53">
        <v>0</v>
      </c>
      <c r="F237" s="53">
        <v>251.80642</v>
      </c>
      <c r="G237" s="53">
        <v>0</v>
      </c>
      <c r="H237" s="53">
        <v>1581.00855</v>
      </c>
      <c r="I237" s="53">
        <f>+[3]Лист1!C6</f>
        <v>921.44137764178208</v>
      </c>
      <c r="J237" s="29">
        <f t="shared" si="13"/>
        <v>1832.8149699999999</v>
      </c>
      <c r="K237" s="60">
        <f t="shared" si="14"/>
        <v>921.44137764178208</v>
      </c>
      <c r="L237" s="63"/>
    </row>
    <row r="238" spans="1:12" ht="15.75" x14ac:dyDescent="0.15">
      <c r="A238" s="35" t="s">
        <v>261</v>
      </c>
      <c r="B238" s="61" t="s">
        <v>237</v>
      </c>
      <c r="C238" s="33" t="s">
        <v>10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29">
        <f t="shared" si="13"/>
        <v>0</v>
      </c>
      <c r="K238" s="60">
        <f t="shared" si="14"/>
        <v>0</v>
      </c>
      <c r="L238" s="63"/>
    </row>
    <row r="239" spans="1:12" ht="15.75" x14ac:dyDescent="0.15">
      <c r="A239" s="35" t="s">
        <v>260</v>
      </c>
      <c r="B239" s="34" t="s">
        <v>259</v>
      </c>
      <c r="C239" s="33" t="s">
        <v>10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29">
        <f t="shared" si="13"/>
        <v>0</v>
      </c>
      <c r="K239" s="60">
        <f t="shared" si="14"/>
        <v>0</v>
      </c>
      <c r="L239" s="63"/>
    </row>
    <row r="240" spans="1:12" ht="15.75" x14ac:dyDescent="0.15">
      <c r="A240" s="35" t="s">
        <v>258</v>
      </c>
      <c r="B240" s="34" t="s">
        <v>257</v>
      </c>
      <c r="C240" s="33" t="s">
        <v>10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29">
        <f t="shared" ref="J240:J252" si="15">+D240+F240+H240</f>
        <v>0</v>
      </c>
      <c r="K240" s="60">
        <f t="shared" ref="K240:K252" si="16">+E240+G240+I240</f>
        <v>0</v>
      </c>
      <c r="L240" s="63"/>
    </row>
    <row r="241" spans="1:29" ht="15.75" x14ac:dyDescent="0.15">
      <c r="A241" s="35" t="s">
        <v>256</v>
      </c>
      <c r="B241" s="61" t="s">
        <v>255</v>
      </c>
      <c r="C241" s="33" t="s">
        <v>10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29">
        <f t="shared" si="15"/>
        <v>0</v>
      </c>
      <c r="K241" s="60">
        <f t="shared" si="16"/>
        <v>0</v>
      </c>
      <c r="L241" s="63"/>
    </row>
    <row r="242" spans="1:29" ht="15.75" x14ac:dyDescent="0.15">
      <c r="A242" s="35" t="s">
        <v>254</v>
      </c>
      <c r="B242" s="61" t="s">
        <v>253</v>
      </c>
      <c r="C242" s="33" t="s">
        <v>10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29">
        <f t="shared" si="15"/>
        <v>0</v>
      </c>
      <c r="K242" s="60">
        <f t="shared" si="16"/>
        <v>0</v>
      </c>
      <c r="L242" s="63"/>
    </row>
    <row r="243" spans="1:29" ht="15.75" x14ac:dyDescent="0.15">
      <c r="A243" s="35" t="s">
        <v>252</v>
      </c>
      <c r="B243" s="34" t="s">
        <v>251</v>
      </c>
      <c r="C243" s="33" t="s">
        <v>10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29">
        <f t="shared" si="15"/>
        <v>0</v>
      </c>
      <c r="K243" s="60">
        <f t="shared" si="16"/>
        <v>0</v>
      </c>
      <c r="L243" s="63"/>
    </row>
    <row r="244" spans="1:29" ht="15.75" x14ac:dyDescent="0.15">
      <c r="A244" s="35" t="s">
        <v>250</v>
      </c>
      <c r="B244" s="34" t="s">
        <v>249</v>
      </c>
      <c r="C244" s="33" t="s">
        <v>10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29">
        <f t="shared" si="15"/>
        <v>0</v>
      </c>
      <c r="K244" s="60">
        <f t="shared" si="16"/>
        <v>0</v>
      </c>
      <c r="L244" s="63"/>
    </row>
    <row r="245" spans="1:29" ht="15.75" x14ac:dyDescent="0.15">
      <c r="A245" s="35" t="s">
        <v>248</v>
      </c>
      <c r="B245" s="34" t="s">
        <v>247</v>
      </c>
      <c r="C245" s="33" t="s">
        <v>10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29">
        <f t="shared" si="15"/>
        <v>0</v>
      </c>
      <c r="K245" s="60">
        <f t="shared" si="16"/>
        <v>0</v>
      </c>
      <c r="L245" s="63"/>
    </row>
    <row r="246" spans="1:29" s="54" customFormat="1" ht="15.75" x14ac:dyDescent="0.25">
      <c r="A246" s="15" t="s">
        <v>246</v>
      </c>
      <c r="B246" s="14" t="s">
        <v>245</v>
      </c>
      <c r="C246" s="13" t="s">
        <v>10</v>
      </c>
      <c r="D246" s="62">
        <v>6.68</v>
      </c>
      <c r="E246" s="62">
        <f>+E247+E251+E252</f>
        <v>6.68</v>
      </c>
      <c r="F246" s="62">
        <v>0</v>
      </c>
      <c r="G246" s="62">
        <f>+G247+G251+G252</f>
        <v>0</v>
      </c>
      <c r="H246" s="62">
        <v>251.80642</v>
      </c>
      <c r="I246" s="62">
        <f>+I247+I251+I252</f>
        <v>83.76739796743459</v>
      </c>
      <c r="J246" s="62">
        <f t="shared" si="15"/>
        <v>258.48642000000001</v>
      </c>
      <c r="K246" s="62">
        <f t="shared" si="16"/>
        <v>90.447397967434597</v>
      </c>
      <c r="L246" s="55"/>
    </row>
    <row r="247" spans="1:29" ht="15.75" x14ac:dyDescent="0.15">
      <c r="A247" s="35" t="s">
        <v>244</v>
      </c>
      <c r="B247" s="34" t="s">
        <v>243</v>
      </c>
      <c r="C247" s="33" t="s">
        <v>10</v>
      </c>
      <c r="D247" s="53">
        <v>6.68</v>
      </c>
      <c r="E247" s="53">
        <f>+E248+E249+E250</f>
        <v>6.68</v>
      </c>
      <c r="F247" s="58">
        <v>0</v>
      </c>
      <c r="G247" s="53">
        <f>+G248+G249+G250</f>
        <v>0</v>
      </c>
      <c r="H247" s="58">
        <v>251.80642</v>
      </c>
      <c r="I247" s="53">
        <f>+I248+I249+I250</f>
        <v>83.76739796743459</v>
      </c>
      <c r="J247" s="29">
        <f t="shared" si="15"/>
        <v>258.48642000000001</v>
      </c>
      <c r="K247" s="60">
        <f t="shared" si="16"/>
        <v>90.447397967434597</v>
      </c>
      <c r="L247" s="52"/>
    </row>
    <row r="248" spans="1:29" ht="15.75" x14ac:dyDescent="0.15">
      <c r="A248" s="35" t="s">
        <v>242</v>
      </c>
      <c r="B248" s="61" t="s">
        <v>241</v>
      </c>
      <c r="C248" s="33" t="s">
        <v>10</v>
      </c>
      <c r="D248" s="53">
        <v>6.68</v>
      </c>
      <c r="E248" s="53">
        <v>6.68</v>
      </c>
      <c r="F248" s="58">
        <v>0</v>
      </c>
      <c r="G248" s="53">
        <v>0</v>
      </c>
      <c r="H248" s="58">
        <v>0</v>
      </c>
      <c r="I248" s="53">
        <v>0</v>
      </c>
      <c r="J248" s="29">
        <f t="shared" si="15"/>
        <v>6.68</v>
      </c>
      <c r="K248" s="60">
        <f t="shared" si="16"/>
        <v>6.68</v>
      </c>
      <c r="L248" s="52"/>
    </row>
    <row r="249" spans="1:29" ht="15.75" x14ac:dyDescent="0.15">
      <c r="A249" s="35" t="s">
        <v>240</v>
      </c>
      <c r="B249" s="61" t="s">
        <v>239</v>
      </c>
      <c r="C249" s="33" t="s">
        <v>10</v>
      </c>
      <c r="D249" s="53">
        <v>0</v>
      </c>
      <c r="E249" s="53">
        <v>0</v>
      </c>
      <c r="F249" s="58">
        <v>0</v>
      </c>
      <c r="G249" s="53">
        <v>0</v>
      </c>
      <c r="H249" s="58">
        <v>251.80642</v>
      </c>
      <c r="I249" s="53">
        <f>+[3]Лист1!D6</f>
        <v>83.76739796743459</v>
      </c>
      <c r="J249" s="29">
        <f t="shared" si="15"/>
        <v>251.80642</v>
      </c>
      <c r="K249" s="60">
        <f t="shared" si="16"/>
        <v>83.76739796743459</v>
      </c>
      <c r="L249" s="52"/>
    </row>
    <row r="250" spans="1:29" ht="15.75" x14ac:dyDescent="0.15">
      <c r="A250" s="35" t="s">
        <v>238</v>
      </c>
      <c r="B250" s="61" t="s">
        <v>237</v>
      </c>
      <c r="C250" s="33" t="s">
        <v>10</v>
      </c>
      <c r="D250" s="53">
        <v>0</v>
      </c>
      <c r="E250" s="53">
        <v>0</v>
      </c>
      <c r="F250" s="58">
        <v>0</v>
      </c>
      <c r="G250" s="53">
        <v>0</v>
      </c>
      <c r="H250" s="58">
        <v>0</v>
      </c>
      <c r="I250" s="53">
        <v>0</v>
      </c>
      <c r="J250" s="29">
        <f t="shared" si="15"/>
        <v>0</v>
      </c>
      <c r="K250" s="60">
        <f t="shared" si="16"/>
        <v>0</v>
      </c>
      <c r="L250" s="52"/>
    </row>
    <row r="251" spans="1:29" ht="15.75" x14ac:dyDescent="0.15">
      <c r="A251" s="35" t="s">
        <v>236</v>
      </c>
      <c r="B251" s="34" t="s">
        <v>235</v>
      </c>
      <c r="C251" s="33" t="s">
        <v>10</v>
      </c>
      <c r="D251" s="53">
        <v>0</v>
      </c>
      <c r="E251" s="53">
        <v>0</v>
      </c>
      <c r="F251" s="58">
        <v>0</v>
      </c>
      <c r="G251" s="53">
        <v>0</v>
      </c>
      <c r="H251" s="58">
        <v>0</v>
      </c>
      <c r="I251" s="53">
        <v>0</v>
      </c>
      <c r="J251" s="29">
        <f t="shared" si="15"/>
        <v>0</v>
      </c>
      <c r="K251" s="60">
        <f t="shared" si="16"/>
        <v>0</v>
      </c>
      <c r="L251" s="52"/>
    </row>
    <row r="252" spans="1:29" ht="15.75" x14ac:dyDescent="0.25">
      <c r="A252" s="35" t="s">
        <v>234</v>
      </c>
      <c r="B252" s="34" t="s">
        <v>233</v>
      </c>
      <c r="C252" s="33" t="s">
        <v>10</v>
      </c>
      <c r="D252" s="53">
        <v>0</v>
      </c>
      <c r="E252" s="53">
        <v>0</v>
      </c>
      <c r="F252" s="58">
        <v>0</v>
      </c>
      <c r="G252" s="53">
        <v>0</v>
      </c>
      <c r="H252" s="58">
        <v>0</v>
      </c>
      <c r="I252" s="53">
        <v>0</v>
      </c>
      <c r="J252" s="29">
        <f t="shared" si="15"/>
        <v>0</v>
      </c>
      <c r="K252" s="60">
        <f t="shared" si="16"/>
        <v>0</v>
      </c>
      <c r="L252" s="59"/>
      <c r="M252" s="59"/>
    </row>
    <row r="253" spans="1:29" s="54" customFormat="1" ht="31.5" x14ac:dyDescent="0.25">
      <c r="A253" s="15" t="s">
        <v>232</v>
      </c>
      <c r="B253" s="14" t="s">
        <v>231</v>
      </c>
      <c r="C253" s="13" t="s">
        <v>10</v>
      </c>
      <c r="D253" s="43">
        <v>9.2880339999999251</v>
      </c>
      <c r="E253" s="43">
        <f>E176-E194</f>
        <v>347.67999999999665</v>
      </c>
      <c r="F253" s="43">
        <v>30.962466340131641</v>
      </c>
      <c r="G253" s="43">
        <f>G176-G194</f>
        <v>-421.611120880003</v>
      </c>
      <c r="H253" s="43">
        <v>319.27893515230426</v>
      </c>
      <c r="I253" s="43">
        <f>I176-I194</f>
        <v>-609.84693000000152</v>
      </c>
      <c r="J253" s="43" t="s">
        <v>6</v>
      </c>
      <c r="K253" s="43" t="s">
        <v>6</v>
      </c>
      <c r="L253" s="59"/>
      <c r="M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</row>
    <row r="254" spans="1:29" s="54" customFormat="1" ht="31.5" x14ac:dyDescent="0.25">
      <c r="A254" s="15" t="s">
        <v>230</v>
      </c>
      <c r="B254" s="14" t="s">
        <v>229</v>
      </c>
      <c r="C254" s="13" t="s">
        <v>10</v>
      </c>
      <c r="D254" s="43">
        <v>573.90000000000009</v>
      </c>
      <c r="E254" s="43">
        <f>+E214-E221</f>
        <v>2270.9</v>
      </c>
      <c r="F254" s="43">
        <v>-861.52387423999608</v>
      </c>
      <c r="G254" s="43">
        <f>+G214-G221</f>
        <v>3700.9425833600003</v>
      </c>
      <c r="H254" s="43">
        <v>-1633.1643999999987</v>
      </c>
      <c r="I254" s="43">
        <f>+I214-I221</f>
        <v>-5126.8073776417832</v>
      </c>
      <c r="J254" s="43" t="s">
        <v>6</v>
      </c>
      <c r="K254" s="43" t="s">
        <v>6</v>
      </c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</row>
    <row r="255" spans="1:29" s="57" customFormat="1" ht="15.75" x14ac:dyDescent="0.15">
      <c r="A255" s="35" t="s">
        <v>228</v>
      </c>
      <c r="B255" s="34" t="s">
        <v>227</v>
      </c>
      <c r="C255" s="33" t="s">
        <v>10</v>
      </c>
      <c r="D255" s="53">
        <v>573.90000000000009</v>
      </c>
      <c r="E255" s="53">
        <f>+E254</f>
        <v>2270.9</v>
      </c>
      <c r="F255" s="53">
        <v>-861.52387423999608</v>
      </c>
      <c r="G255" s="53">
        <f>+G254</f>
        <v>3700.9425833600003</v>
      </c>
      <c r="H255" s="53">
        <v>-1633.1643999999987</v>
      </c>
      <c r="I255" s="53">
        <f>+I254</f>
        <v>-5126.8073776417832</v>
      </c>
      <c r="J255" s="53" t="s">
        <v>6</v>
      </c>
      <c r="K255" s="53" t="s">
        <v>6</v>
      </c>
      <c r="L255" s="52"/>
    </row>
    <row r="256" spans="1:29" s="57" customFormat="1" ht="15.75" x14ac:dyDescent="0.15">
      <c r="A256" s="35" t="s">
        <v>226</v>
      </c>
      <c r="B256" s="34" t="s">
        <v>225</v>
      </c>
      <c r="C256" s="33" t="s">
        <v>10</v>
      </c>
      <c r="D256" s="53">
        <v>0</v>
      </c>
      <c r="E256" s="53">
        <v>0</v>
      </c>
      <c r="F256" s="58">
        <v>0</v>
      </c>
      <c r="G256" s="53">
        <v>0</v>
      </c>
      <c r="H256" s="58">
        <v>0</v>
      </c>
      <c r="I256" s="53">
        <v>0</v>
      </c>
      <c r="J256" s="58" t="s">
        <v>6</v>
      </c>
      <c r="K256" s="58" t="s">
        <v>6</v>
      </c>
      <c r="L256" s="52"/>
    </row>
    <row r="257" spans="1:12" s="54" customFormat="1" ht="31.5" x14ac:dyDescent="0.25">
      <c r="A257" s="15" t="s">
        <v>224</v>
      </c>
      <c r="B257" s="14" t="s">
        <v>223</v>
      </c>
      <c r="C257" s="13" t="s">
        <v>10</v>
      </c>
      <c r="D257" s="56">
        <v>-5.4799999999999995</v>
      </c>
      <c r="E257" s="56">
        <f>+E233-E246</f>
        <v>-4.1399999999999997</v>
      </c>
      <c r="F257" s="56">
        <v>253.00641999999999</v>
      </c>
      <c r="G257" s="56">
        <f>+G233-G246</f>
        <v>5</v>
      </c>
      <c r="H257" s="56">
        <v>1330.4021299999999</v>
      </c>
      <c r="I257" s="56">
        <f>+I233-I246</f>
        <v>842.67397967434749</v>
      </c>
      <c r="J257" s="56" t="s">
        <v>6</v>
      </c>
      <c r="K257" s="56" t="s">
        <v>6</v>
      </c>
      <c r="L257" s="55"/>
    </row>
    <row r="258" spans="1:12" ht="15.75" x14ac:dyDescent="0.15">
      <c r="A258" s="32" t="s">
        <v>222</v>
      </c>
      <c r="B258" s="31" t="s">
        <v>221</v>
      </c>
      <c r="C258" s="30" t="s">
        <v>10</v>
      </c>
      <c r="D258" s="53">
        <v>-6.68</v>
      </c>
      <c r="E258" s="53">
        <f>-E248</f>
        <v>-6.68</v>
      </c>
      <c r="F258" s="53">
        <v>0</v>
      </c>
      <c r="G258" s="53">
        <f>-G248</f>
        <v>0</v>
      </c>
      <c r="H258" s="53">
        <v>-251.80642</v>
      </c>
      <c r="I258" s="53">
        <f>-I247</f>
        <v>-83.76739796743459</v>
      </c>
      <c r="J258" s="53" t="s">
        <v>6</v>
      </c>
      <c r="K258" s="53" t="s">
        <v>6</v>
      </c>
      <c r="L258" s="52"/>
    </row>
    <row r="259" spans="1:12" ht="15.75" x14ac:dyDescent="0.15">
      <c r="A259" s="32" t="s">
        <v>220</v>
      </c>
      <c r="B259" s="31" t="s">
        <v>219</v>
      </c>
      <c r="C259" s="30" t="s">
        <v>10</v>
      </c>
      <c r="D259" s="53">
        <v>1.2</v>
      </c>
      <c r="E259" s="53">
        <f>+E257-E258</f>
        <v>2.54</v>
      </c>
      <c r="F259" s="53">
        <v>1.2</v>
      </c>
      <c r="G259" s="53">
        <f>+G257-G258</f>
        <v>5</v>
      </c>
      <c r="H259" s="53">
        <v>1.2</v>
      </c>
      <c r="I259" s="53">
        <f>+I257-I258</f>
        <v>926.44137764178208</v>
      </c>
      <c r="J259" s="53" t="s">
        <v>6</v>
      </c>
      <c r="K259" s="53" t="s">
        <v>6</v>
      </c>
      <c r="L259" s="52"/>
    </row>
    <row r="260" spans="1:12" ht="15.75" x14ac:dyDescent="0.15">
      <c r="A260" s="15" t="s">
        <v>218</v>
      </c>
      <c r="B260" s="14" t="s">
        <v>217</v>
      </c>
      <c r="C260" s="13" t="s">
        <v>10</v>
      </c>
      <c r="D260" s="51">
        <v>0</v>
      </c>
      <c r="E260" s="51">
        <v>0</v>
      </c>
      <c r="F260" s="50">
        <v>0</v>
      </c>
      <c r="G260" s="51">
        <v>0</v>
      </c>
      <c r="H260" s="50">
        <v>0</v>
      </c>
      <c r="I260" s="51">
        <v>0</v>
      </c>
      <c r="J260" s="50" t="s">
        <v>6</v>
      </c>
      <c r="K260" s="50" t="s">
        <v>6</v>
      </c>
      <c r="L260" s="49"/>
    </row>
    <row r="261" spans="1:12" ht="49.5" customHeight="1" x14ac:dyDescent="0.15">
      <c r="A261" s="15" t="s">
        <v>216</v>
      </c>
      <c r="B261" s="14" t="s">
        <v>215</v>
      </c>
      <c r="C261" s="13" t="s">
        <v>10</v>
      </c>
      <c r="D261" s="50">
        <v>577.708034</v>
      </c>
      <c r="E261" s="50">
        <f>+E253+E254+E257+E260</f>
        <v>2614.4399999999969</v>
      </c>
      <c r="F261" s="50">
        <v>-577.5549878998645</v>
      </c>
      <c r="G261" s="50">
        <f>+G253+G254+G257+G260</f>
        <v>3284.3314624799973</v>
      </c>
      <c r="H261" s="50">
        <v>16.51666515230545</v>
      </c>
      <c r="I261" s="50">
        <f>+I253+I254+I257+I260</f>
        <v>-4893.980327967437</v>
      </c>
      <c r="J261" s="50" t="s">
        <v>6</v>
      </c>
      <c r="K261" s="50" t="s">
        <v>6</v>
      </c>
      <c r="L261" s="49"/>
    </row>
    <row r="262" spans="1:12" ht="15.75" x14ac:dyDescent="0.15">
      <c r="A262" s="15" t="s">
        <v>214</v>
      </c>
      <c r="B262" s="14" t="s">
        <v>213</v>
      </c>
      <c r="C262" s="13" t="s">
        <v>10</v>
      </c>
      <c r="D262" s="48">
        <v>25.353999999999999</v>
      </c>
      <c r="E262" s="48">
        <v>654.6</v>
      </c>
      <c r="F262" s="48">
        <v>603.06203400000004</v>
      </c>
      <c r="G262" s="48">
        <f>+E263</f>
        <v>3269.0399999999968</v>
      </c>
      <c r="H262" s="48">
        <v>25.50704610013554</v>
      </c>
      <c r="I262" s="48">
        <f>+G263</f>
        <v>6553.3714624799941</v>
      </c>
      <c r="J262" s="48" t="s">
        <v>6</v>
      </c>
      <c r="K262" s="48" t="s">
        <v>6</v>
      </c>
      <c r="L262" s="47"/>
    </row>
    <row r="263" spans="1:12" ht="15.75" x14ac:dyDescent="0.15">
      <c r="A263" s="15" t="s">
        <v>212</v>
      </c>
      <c r="B263" s="14" t="s">
        <v>211</v>
      </c>
      <c r="C263" s="13" t="s">
        <v>10</v>
      </c>
      <c r="D263" s="48">
        <v>603.06203400000004</v>
      </c>
      <c r="E263" s="48">
        <f>+E262+E261</f>
        <v>3269.0399999999968</v>
      </c>
      <c r="F263" s="48">
        <v>25.50704610013554</v>
      </c>
      <c r="G263" s="48">
        <f>+G262+G261</f>
        <v>6553.3714624799941</v>
      </c>
      <c r="H263" s="48">
        <v>42.023711252440989</v>
      </c>
      <c r="I263" s="48">
        <f>+I262+I261</f>
        <v>1659.3911345125571</v>
      </c>
      <c r="J263" s="48" t="s">
        <v>6</v>
      </c>
      <c r="K263" s="48" t="s">
        <v>6</v>
      </c>
      <c r="L263" s="47"/>
    </row>
    <row r="264" spans="1:12" ht="15.75" x14ac:dyDescent="0.15">
      <c r="A264" s="15" t="s">
        <v>210</v>
      </c>
      <c r="B264" s="14" t="s">
        <v>209</v>
      </c>
      <c r="C264" s="13" t="s">
        <v>34</v>
      </c>
      <c r="D264" s="43"/>
      <c r="E264" s="43"/>
      <c r="F264" s="43"/>
      <c r="G264" s="43"/>
      <c r="H264" s="43"/>
      <c r="I264" s="43"/>
      <c r="J264" s="43"/>
      <c r="K264" s="43"/>
      <c r="L264" s="42"/>
    </row>
    <row r="265" spans="1:12" ht="15.75" x14ac:dyDescent="0.15">
      <c r="A265" s="15" t="s">
        <v>208</v>
      </c>
      <c r="B265" s="44" t="s">
        <v>207</v>
      </c>
      <c r="C265" s="13" t="s">
        <v>10</v>
      </c>
      <c r="D265" s="43">
        <v>0</v>
      </c>
      <c r="E265" s="43">
        <f>+E276+E280+E292</f>
        <v>891.12999999999988</v>
      </c>
      <c r="F265" s="43">
        <v>0</v>
      </c>
      <c r="G265" s="43">
        <f>+G276+G280+G292</f>
        <v>794.0100000000009</v>
      </c>
      <c r="H265" s="43">
        <v>0</v>
      </c>
      <c r="I265" s="43">
        <f>+I276+I280+I292</f>
        <v>1044.0100000000009</v>
      </c>
      <c r="J265" s="43">
        <v>0</v>
      </c>
      <c r="K265" s="43">
        <f>+K276+K280+K292</f>
        <v>1044.0100000000009</v>
      </c>
      <c r="L265" s="42"/>
    </row>
    <row r="266" spans="1:12" ht="15.75" x14ac:dyDescent="0.15">
      <c r="A266" s="32" t="s">
        <v>206</v>
      </c>
      <c r="B266" s="36" t="s">
        <v>205</v>
      </c>
      <c r="C266" s="30" t="s">
        <v>10</v>
      </c>
      <c r="D266" s="29">
        <v>0</v>
      </c>
      <c r="E266" s="29">
        <v>0</v>
      </c>
      <c r="F266" s="29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f t="shared" ref="K266:K293" si="17">+I266</f>
        <v>0</v>
      </c>
      <c r="L266" s="28"/>
    </row>
    <row r="267" spans="1:12" ht="15.75" x14ac:dyDescent="0.15">
      <c r="A267" s="32" t="s">
        <v>204</v>
      </c>
      <c r="B267" s="46" t="s">
        <v>132</v>
      </c>
      <c r="C267" s="30" t="s">
        <v>10</v>
      </c>
      <c r="D267" s="29">
        <v>0</v>
      </c>
      <c r="E267" s="2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f t="shared" si="17"/>
        <v>0</v>
      </c>
      <c r="L267" s="28"/>
    </row>
    <row r="268" spans="1:12" ht="31.5" x14ac:dyDescent="0.15">
      <c r="A268" s="32" t="s">
        <v>203</v>
      </c>
      <c r="B268" s="36" t="s">
        <v>202</v>
      </c>
      <c r="C268" s="30" t="s">
        <v>10</v>
      </c>
      <c r="D268" s="29">
        <v>0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f t="shared" si="17"/>
        <v>0</v>
      </c>
      <c r="L268" s="28"/>
    </row>
    <row r="269" spans="1:12" ht="15.75" x14ac:dyDescent="0.15">
      <c r="A269" s="32" t="s">
        <v>201</v>
      </c>
      <c r="B269" s="46" t="s">
        <v>132</v>
      </c>
      <c r="C269" s="30" t="s">
        <v>10</v>
      </c>
      <c r="D269" s="29">
        <v>0</v>
      </c>
      <c r="E269" s="29">
        <v>0</v>
      </c>
      <c r="F269" s="29">
        <v>0</v>
      </c>
      <c r="G269" s="29">
        <v>0</v>
      </c>
      <c r="H269" s="29">
        <v>0</v>
      </c>
      <c r="I269" s="29">
        <v>0</v>
      </c>
      <c r="J269" s="29">
        <v>0</v>
      </c>
      <c r="K269" s="29">
        <f t="shared" si="17"/>
        <v>0</v>
      </c>
      <c r="L269" s="28"/>
    </row>
    <row r="270" spans="1:12" ht="31.5" x14ac:dyDescent="0.15">
      <c r="A270" s="32" t="s">
        <v>200</v>
      </c>
      <c r="B270" s="36" t="s">
        <v>199</v>
      </c>
      <c r="C270" s="30" t="s">
        <v>10</v>
      </c>
      <c r="D270" s="29">
        <v>0</v>
      </c>
      <c r="E270" s="29">
        <v>0</v>
      </c>
      <c r="F270" s="29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f t="shared" si="17"/>
        <v>0</v>
      </c>
      <c r="L270" s="28"/>
    </row>
    <row r="271" spans="1:12" ht="15.75" x14ac:dyDescent="0.15">
      <c r="A271" s="32" t="s">
        <v>198</v>
      </c>
      <c r="B271" s="46" t="s">
        <v>180</v>
      </c>
      <c r="C271" s="30" t="s">
        <v>10</v>
      </c>
      <c r="D271" s="29">
        <v>0</v>
      </c>
      <c r="E271" s="29">
        <v>0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f t="shared" si="17"/>
        <v>0</v>
      </c>
      <c r="L271" s="28"/>
    </row>
    <row r="272" spans="1:12" ht="31.5" x14ac:dyDescent="0.15">
      <c r="A272" s="32" t="s">
        <v>197</v>
      </c>
      <c r="B272" s="36" t="s">
        <v>196</v>
      </c>
      <c r="C272" s="30" t="s">
        <v>10</v>
      </c>
      <c r="D272" s="29">
        <v>0</v>
      </c>
      <c r="E272" s="29">
        <v>0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f t="shared" si="17"/>
        <v>0</v>
      </c>
      <c r="L272" s="28"/>
    </row>
    <row r="273" spans="1:12" ht="15.75" x14ac:dyDescent="0.15">
      <c r="A273" s="32" t="s">
        <v>195</v>
      </c>
      <c r="B273" s="46" t="s">
        <v>132</v>
      </c>
      <c r="C273" s="30" t="s">
        <v>10</v>
      </c>
      <c r="D273" s="29">
        <v>0</v>
      </c>
      <c r="E273" s="29">
        <v>0</v>
      </c>
      <c r="F273" s="29">
        <v>0</v>
      </c>
      <c r="G273" s="29">
        <v>0</v>
      </c>
      <c r="H273" s="29">
        <v>0</v>
      </c>
      <c r="I273" s="29">
        <v>0</v>
      </c>
      <c r="J273" s="29">
        <v>0</v>
      </c>
      <c r="K273" s="29">
        <f t="shared" si="17"/>
        <v>0</v>
      </c>
      <c r="L273" s="28"/>
    </row>
    <row r="274" spans="1:12" ht="15.75" x14ac:dyDescent="0.15">
      <c r="A274" s="32" t="s">
        <v>194</v>
      </c>
      <c r="B274" s="36" t="s">
        <v>193</v>
      </c>
      <c r="C274" s="30" t="s">
        <v>10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f t="shared" si="17"/>
        <v>0</v>
      </c>
      <c r="L274" s="28"/>
    </row>
    <row r="275" spans="1:12" ht="15.75" x14ac:dyDescent="0.15">
      <c r="A275" s="32" t="s">
        <v>192</v>
      </c>
      <c r="B275" s="46" t="s">
        <v>132</v>
      </c>
      <c r="C275" s="30" t="s">
        <v>10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f t="shared" si="17"/>
        <v>0</v>
      </c>
      <c r="L275" s="28"/>
    </row>
    <row r="276" spans="1:12" ht="15.75" x14ac:dyDescent="0.15">
      <c r="A276" s="32" t="s">
        <v>191</v>
      </c>
      <c r="B276" s="36" t="s">
        <v>190</v>
      </c>
      <c r="C276" s="30" t="s">
        <v>10</v>
      </c>
      <c r="D276" s="29">
        <v>0</v>
      </c>
      <c r="E276" s="18">
        <f>593.76+0.25-E280</f>
        <v>593.96</v>
      </c>
      <c r="F276" s="18">
        <v>0</v>
      </c>
      <c r="G276" s="18">
        <f>+E276+G36*1.2-G182</f>
        <v>793.96000000000095</v>
      </c>
      <c r="H276" s="18">
        <v>0</v>
      </c>
      <c r="I276" s="18">
        <f>+G276+I36*1.2-I182</f>
        <v>1043.9600000000009</v>
      </c>
      <c r="J276" s="18">
        <v>0</v>
      </c>
      <c r="K276" s="29">
        <f t="shared" si="17"/>
        <v>1043.9600000000009</v>
      </c>
      <c r="L276" s="17"/>
    </row>
    <row r="277" spans="1:12" ht="15.75" x14ac:dyDescent="0.15">
      <c r="A277" s="32" t="s">
        <v>189</v>
      </c>
      <c r="B277" s="45" t="s">
        <v>132</v>
      </c>
      <c r="C277" s="30" t="s">
        <v>10</v>
      </c>
      <c r="D277" s="29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29">
        <v>0</v>
      </c>
      <c r="K277" s="29">
        <f t="shared" si="17"/>
        <v>0</v>
      </c>
      <c r="L277" s="28"/>
    </row>
    <row r="278" spans="1:12" ht="15.75" x14ac:dyDescent="0.15">
      <c r="A278" s="32" t="s">
        <v>188</v>
      </c>
      <c r="B278" s="36" t="s">
        <v>187</v>
      </c>
      <c r="C278" s="30" t="s">
        <v>10</v>
      </c>
      <c r="D278" s="29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29">
        <v>0</v>
      </c>
      <c r="K278" s="29">
        <f t="shared" si="17"/>
        <v>0</v>
      </c>
      <c r="L278" s="28"/>
    </row>
    <row r="279" spans="1:12" ht="15.75" x14ac:dyDescent="0.15">
      <c r="A279" s="32" t="s">
        <v>186</v>
      </c>
      <c r="B279" s="45" t="s">
        <v>132</v>
      </c>
      <c r="C279" s="30" t="s">
        <v>10</v>
      </c>
      <c r="D279" s="29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29">
        <v>0</v>
      </c>
      <c r="K279" s="29">
        <f t="shared" si="17"/>
        <v>0</v>
      </c>
      <c r="L279" s="28"/>
    </row>
    <row r="280" spans="1:12" ht="15.75" x14ac:dyDescent="0.15">
      <c r="A280" s="32" t="s">
        <v>185</v>
      </c>
      <c r="B280" s="36" t="s">
        <v>184</v>
      </c>
      <c r="C280" s="30" t="s">
        <v>10</v>
      </c>
      <c r="D280" s="29">
        <v>0</v>
      </c>
      <c r="E280" s="18">
        <v>0.05</v>
      </c>
      <c r="F280" s="18">
        <v>0</v>
      </c>
      <c r="G280" s="18">
        <v>0.05</v>
      </c>
      <c r="H280" s="18">
        <v>0</v>
      </c>
      <c r="I280" s="18">
        <v>0.05</v>
      </c>
      <c r="J280" s="18">
        <v>0</v>
      </c>
      <c r="K280" s="29">
        <f t="shared" si="17"/>
        <v>0.05</v>
      </c>
      <c r="L280" s="17"/>
    </row>
    <row r="281" spans="1:12" ht="15.75" x14ac:dyDescent="0.15">
      <c r="A281" s="32" t="s">
        <v>183</v>
      </c>
      <c r="B281" s="45" t="s">
        <v>132</v>
      </c>
      <c r="C281" s="30" t="s">
        <v>10</v>
      </c>
      <c r="D281" s="29">
        <v>0</v>
      </c>
      <c r="E281" s="29">
        <v>0</v>
      </c>
      <c r="F281" s="18">
        <v>0</v>
      </c>
      <c r="G281" s="29">
        <v>0</v>
      </c>
      <c r="H281" s="18">
        <v>0</v>
      </c>
      <c r="I281" s="29">
        <v>0</v>
      </c>
      <c r="J281" s="18">
        <v>0</v>
      </c>
      <c r="K281" s="29">
        <f t="shared" si="17"/>
        <v>0</v>
      </c>
      <c r="L281" s="17"/>
    </row>
    <row r="282" spans="1:12" ht="15.75" x14ac:dyDescent="0.15">
      <c r="A282" s="32" t="s">
        <v>179</v>
      </c>
      <c r="B282" s="36" t="s">
        <v>182</v>
      </c>
      <c r="C282" s="30" t="s">
        <v>10</v>
      </c>
      <c r="D282" s="29">
        <v>0</v>
      </c>
      <c r="E282" s="29">
        <v>0</v>
      </c>
      <c r="F282" s="18">
        <v>0</v>
      </c>
      <c r="G282" s="29">
        <v>0</v>
      </c>
      <c r="H282" s="18">
        <v>0</v>
      </c>
      <c r="I282" s="29">
        <v>0</v>
      </c>
      <c r="J282" s="18">
        <v>0</v>
      </c>
      <c r="K282" s="29">
        <f t="shared" si="17"/>
        <v>0</v>
      </c>
      <c r="L282" s="17"/>
    </row>
    <row r="283" spans="1:12" ht="15.75" x14ac:dyDescent="0.15">
      <c r="A283" s="32" t="s">
        <v>181</v>
      </c>
      <c r="B283" s="46" t="s">
        <v>180</v>
      </c>
      <c r="C283" s="30" t="s">
        <v>10</v>
      </c>
      <c r="D283" s="29">
        <v>0</v>
      </c>
      <c r="E283" s="29">
        <v>0</v>
      </c>
      <c r="F283" s="18">
        <v>0</v>
      </c>
      <c r="G283" s="29">
        <v>0</v>
      </c>
      <c r="H283" s="18">
        <v>0</v>
      </c>
      <c r="I283" s="29">
        <v>0</v>
      </c>
      <c r="J283" s="18">
        <v>0</v>
      </c>
      <c r="K283" s="29">
        <f t="shared" si="17"/>
        <v>0</v>
      </c>
      <c r="L283" s="17"/>
    </row>
    <row r="284" spans="1:12" ht="15.75" x14ac:dyDescent="0.15">
      <c r="A284" s="32" t="s">
        <v>179</v>
      </c>
      <c r="B284" s="36" t="s">
        <v>178</v>
      </c>
      <c r="C284" s="30" t="s">
        <v>10</v>
      </c>
      <c r="D284" s="29">
        <v>0</v>
      </c>
      <c r="E284" s="29">
        <v>0</v>
      </c>
      <c r="F284" s="18">
        <v>0</v>
      </c>
      <c r="G284" s="29">
        <v>0</v>
      </c>
      <c r="H284" s="18">
        <v>0</v>
      </c>
      <c r="I284" s="29">
        <v>0</v>
      </c>
      <c r="J284" s="18">
        <v>0</v>
      </c>
      <c r="K284" s="29">
        <f t="shared" si="17"/>
        <v>0</v>
      </c>
      <c r="L284" s="17"/>
    </row>
    <row r="285" spans="1:12" ht="15.75" x14ac:dyDescent="0.15">
      <c r="A285" s="32" t="s">
        <v>177</v>
      </c>
      <c r="B285" s="45" t="s">
        <v>132</v>
      </c>
      <c r="C285" s="30" t="s">
        <v>10</v>
      </c>
      <c r="D285" s="29">
        <v>0</v>
      </c>
      <c r="E285" s="29">
        <v>0</v>
      </c>
      <c r="F285" s="18">
        <v>0</v>
      </c>
      <c r="G285" s="29">
        <v>0</v>
      </c>
      <c r="H285" s="18">
        <v>0</v>
      </c>
      <c r="I285" s="29">
        <v>0</v>
      </c>
      <c r="J285" s="18">
        <v>0</v>
      </c>
      <c r="K285" s="29">
        <f t="shared" si="17"/>
        <v>0</v>
      </c>
      <c r="L285" s="17"/>
    </row>
    <row r="286" spans="1:12" ht="31.5" x14ac:dyDescent="0.15">
      <c r="A286" s="32" t="s">
        <v>176</v>
      </c>
      <c r="B286" s="36" t="s">
        <v>175</v>
      </c>
      <c r="C286" s="30" t="s">
        <v>10</v>
      </c>
      <c r="D286" s="29">
        <v>0</v>
      </c>
      <c r="E286" s="29">
        <v>0</v>
      </c>
      <c r="F286" s="18">
        <v>0</v>
      </c>
      <c r="G286" s="29">
        <v>0</v>
      </c>
      <c r="H286" s="18">
        <v>0</v>
      </c>
      <c r="I286" s="29">
        <v>0</v>
      </c>
      <c r="J286" s="18">
        <v>0</v>
      </c>
      <c r="K286" s="29">
        <f t="shared" si="17"/>
        <v>0</v>
      </c>
      <c r="L286" s="17"/>
    </row>
    <row r="287" spans="1:12" ht="15.75" x14ac:dyDescent="0.15">
      <c r="A287" s="32" t="s">
        <v>174</v>
      </c>
      <c r="B287" s="45" t="s">
        <v>132</v>
      </c>
      <c r="C287" s="30" t="s">
        <v>10</v>
      </c>
      <c r="D287" s="29">
        <v>0</v>
      </c>
      <c r="E287" s="29">
        <v>0</v>
      </c>
      <c r="F287" s="18">
        <v>0</v>
      </c>
      <c r="G287" s="29">
        <v>0</v>
      </c>
      <c r="H287" s="18">
        <v>0</v>
      </c>
      <c r="I287" s="29">
        <v>0</v>
      </c>
      <c r="J287" s="18">
        <v>0</v>
      </c>
      <c r="K287" s="29">
        <f t="shared" si="17"/>
        <v>0</v>
      </c>
      <c r="L287" s="17"/>
    </row>
    <row r="288" spans="1:12" ht="15.75" x14ac:dyDescent="0.15">
      <c r="A288" s="32" t="s">
        <v>173</v>
      </c>
      <c r="B288" s="36" t="s">
        <v>13</v>
      </c>
      <c r="C288" s="30" t="s">
        <v>10</v>
      </c>
      <c r="D288" s="29">
        <v>0</v>
      </c>
      <c r="E288" s="29">
        <v>0</v>
      </c>
      <c r="F288" s="18">
        <v>0</v>
      </c>
      <c r="G288" s="29">
        <v>0</v>
      </c>
      <c r="H288" s="18">
        <v>0</v>
      </c>
      <c r="I288" s="29">
        <v>0</v>
      </c>
      <c r="J288" s="18">
        <v>0</v>
      </c>
      <c r="K288" s="29">
        <f t="shared" si="17"/>
        <v>0</v>
      </c>
      <c r="L288" s="17"/>
    </row>
    <row r="289" spans="1:12" ht="15.75" x14ac:dyDescent="0.15">
      <c r="A289" s="32" t="s">
        <v>172</v>
      </c>
      <c r="B289" s="45" t="s">
        <v>132</v>
      </c>
      <c r="C289" s="30" t="s">
        <v>10</v>
      </c>
      <c r="D289" s="29">
        <v>0</v>
      </c>
      <c r="E289" s="29">
        <v>0</v>
      </c>
      <c r="F289" s="18">
        <v>0</v>
      </c>
      <c r="G289" s="29">
        <v>0</v>
      </c>
      <c r="H289" s="18">
        <v>0</v>
      </c>
      <c r="I289" s="29">
        <v>0</v>
      </c>
      <c r="J289" s="18">
        <v>0</v>
      </c>
      <c r="K289" s="29">
        <f t="shared" si="17"/>
        <v>0</v>
      </c>
      <c r="L289" s="17"/>
    </row>
    <row r="290" spans="1:12" ht="15.75" x14ac:dyDescent="0.15">
      <c r="A290" s="32" t="s">
        <v>171</v>
      </c>
      <c r="B290" s="36" t="s">
        <v>11</v>
      </c>
      <c r="C290" s="30" t="s">
        <v>10</v>
      </c>
      <c r="D290" s="29">
        <v>0</v>
      </c>
      <c r="E290" s="29">
        <v>0</v>
      </c>
      <c r="F290" s="18">
        <v>0</v>
      </c>
      <c r="G290" s="29">
        <v>0</v>
      </c>
      <c r="H290" s="18">
        <v>0</v>
      </c>
      <c r="I290" s="29">
        <v>0</v>
      </c>
      <c r="J290" s="18">
        <v>0</v>
      </c>
      <c r="K290" s="29">
        <f t="shared" si="17"/>
        <v>0</v>
      </c>
      <c r="L290" s="17"/>
    </row>
    <row r="291" spans="1:12" ht="15.75" x14ac:dyDescent="0.15">
      <c r="A291" s="32" t="s">
        <v>170</v>
      </c>
      <c r="B291" s="45" t="s">
        <v>132</v>
      </c>
      <c r="C291" s="30" t="s">
        <v>10</v>
      </c>
      <c r="D291" s="29">
        <v>0</v>
      </c>
      <c r="E291" s="29">
        <v>0</v>
      </c>
      <c r="F291" s="18">
        <v>0</v>
      </c>
      <c r="G291" s="29">
        <v>0</v>
      </c>
      <c r="H291" s="18">
        <v>0</v>
      </c>
      <c r="I291" s="29">
        <v>0</v>
      </c>
      <c r="J291" s="18">
        <v>0</v>
      </c>
      <c r="K291" s="29">
        <f t="shared" si="17"/>
        <v>0</v>
      </c>
      <c r="L291" s="17"/>
    </row>
    <row r="292" spans="1:12" ht="15.75" x14ac:dyDescent="0.15">
      <c r="A292" s="32" t="s">
        <v>169</v>
      </c>
      <c r="B292" s="36" t="s">
        <v>168</v>
      </c>
      <c r="C292" s="30" t="s">
        <v>10</v>
      </c>
      <c r="D292" s="29">
        <v>0</v>
      </c>
      <c r="E292" s="18">
        <f>891.13-E276-E280</f>
        <v>297.11999999999995</v>
      </c>
      <c r="F292" s="18">
        <v>0</v>
      </c>
      <c r="G292" s="18">
        <v>0</v>
      </c>
      <c r="H292" s="18">
        <v>0</v>
      </c>
      <c r="I292" s="29">
        <v>0</v>
      </c>
      <c r="J292" s="18">
        <v>0</v>
      </c>
      <c r="K292" s="29">
        <f t="shared" si="17"/>
        <v>0</v>
      </c>
      <c r="L292" s="17"/>
    </row>
    <row r="293" spans="1:12" ht="15.75" x14ac:dyDescent="0.15">
      <c r="A293" s="32" t="s">
        <v>167</v>
      </c>
      <c r="B293" s="45" t="s">
        <v>132</v>
      </c>
      <c r="C293" s="30" t="s">
        <v>10</v>
      </c>
      <c r="D293" s="29">
        <v>0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f t="shared" si="17"/>
        <v>0</v>
      </c>
      <c r="L293" s="28"/>
    </row>
    <row r="294" spans="1:12" ht="15.75" x14ac:dyDescent="0.15">
      <c r="A294" s="15" t="s">
        <v>166</v>
      </c>
      <c r="B294" s="44" t="s">
        <v>165</v>
      </c>
      <c r="C294" s="13" t="s">
        <v>10</v>
      </c>
      <c r="D294" s="43">
        <v>0</v>
      </c>
      <c r="E294" s="43">
        <f>+E297+E302+E304+E306+E308+E310+E312+E314</f>
        <v>4258.2</v>
      </c>
      <c r="F294" s="43">
        <v>0</v>
      </c>
      <c r="G294" s="43">
        <f>+G297+G302+G304+G306+G308+G310+G312+G314</f>
        <v>4692.5225833599998</v>
      </c>
      <c r="H294" s="43">
        <v>0</v>
      </c>
      <c r="I294" s="43">
        <f>+I297+I302+I304+I306+I308+I310+I312+I314</f>
        <v>2705.4452057182166</v>
      </c>
      <c r="J294" s="43">
        <v>0</v>
      </c>
      <c r="K294" s="43">
        <f>+K297+K302+K304+K306+K308+K310+K312+K314</f>
        <v>2705.4452057182166</v>
      </c>
      <c r="L294" s="42"/>
    </row>
    <row r="295" spans="1:12" ht="15.75" x14ac:dyDescent="0.15">
      <c r="A295" s="32" t="s">
        <v>164</v>
      </c>
      <c r="B295" s="36" t="s">
        <v>163</v>
      </c>
      <c r="C295" s="30" t="s">
        <v>10</v>
      </c>
      <c r="D295" s="29">
        <v>0</v>
      </c>
      <c r="E295" s="29">
        <v>0</v>
      </c>
      <c r="F295" s="29">
        <v>0</v>
      </c>
      <c r="G295" s="29">
        <v>0</v>
      </c>
      <c r="H295" s="29">
        <v>0</v>
      </c>
      <c r="I295" s="29">
        <v>0</v>
      </c>
      <c r="J295" s="29">
        <v>0</v>
      </c>
      <c r="K295" s="29">
        <f t="shared" ref="K295:K315" si="18">+I295</f>
        <v>0</v>
      </c>
      <c r="L295" s="28"/>
    </row>
    <row r="296" spans="1:12" ht="15.75" x14ac:dyDescent="0.15">
      <c r="A296" s="32" t="s">
        <v>162</v>
      </c>
      <c r="B296" s="45" t="s">
        <v>132</v>
      </c>
      <c r="C296" s="30" t="s">
        <v>10</v>
      </c>
      <c r="D296" s="29">
        <v>0</v>
      </c>
      <c r="E296" s="29">
        <v>0</v>
      </c>
      <c r="F296" s="29">
        <v>0</v>
      </c>
      <c r="G296" s="29">
        <v>0</v>
      </c>
      <c r="H296" s="29">
        <v>0</v>
      </c>
      <c r="I296" s="29">
        <v>0</v>
      </c>
      <c r="J296" s="29">
        <v>0</v>
      </c>
      <c r="K296" s="29">
        <f t="shared" si="18"/>
        <v>0</v>
      </c>
      <c r="L296" s="28"/>
    </row>
    <row r="297" spans="1:12" ht="15.75" x14ac:dyDescent="0.15">
      <c r="A297" s="32" t="s">
        <v>161</v>
      </c>
      <c r="B297" s="36" t="s">
        <v>160</v>
      </c>
      <c r="C297" s="30" t="s">
        <v>10</v>
      </c>
      <c r="D297" s="29">
        <v>0</v>
      </c>
      <c r="E297" s="18">
        <v>117.91</v>
      </c>
      <c r="F297" s="18">
        <v>0</v>
      </c>
      <c r="G297" s="18">
        <f>+E297+G66*1.2-G199</f>
        <v>9.8199999999999932</v>
      </c>
      <c r="H297" s="18">
        <v>0</v>
      </c>
      <c r="I297" s="18">
        <f>+G297+I66*1.2-I199</f>
        <v>30</v>
      </c>
      <c r="J297" s="29">
        <v>0</v>
      </c>
      <c r="K297" s="29">
        <f t="shared" si="18"/>
        <v>30</v>
      </c>
      <c r="L297" s="28"/>
    </row>
    <row r="298" spans="1:12" ht="15.75" x14ac:dyDescent="0.15">
      <c r="A298" s="32" t="s">
        <v>159</v>
      </c>
      <c r="B298" s="36" t="s">
        <v>158</v>
      </c>
      <c r="C298" s="30" t="s">
        <v>10</v>
      </c>
      <c r="D298" s="29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29">
        <v>0</v>
      </c>
      <c r="K298" s="29">
        <f t="shared" si="18"/>
        <v>0</v>
      </c>
      <c r="L298" s="28"/>
    </row>
    <row r="299" spans="1:12" ht="15.75" x14ac:dyDescent="0.15">
      <c r="A299" s="32" t="s">
        <v>157</v>
      </c>
      <c r="B299" s="45" t="s">
        <v>132</v>
      </c>
      <c r="C299" s="30" t="s">
        <v>10</v>
      </c>
      <c r="D299" s="29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29">
        <v>0</v>
      </c>
      <c r="K299" s="29">
        <f t="shared" si="18"/>
        <v>0</v>
      </c>
      <c r="L299" s="28"/>
    </row>
    <row r="300" spans="1:12" ht="15.75" x14ac:dyDescent="0.15">
      <c r="A300" s="32" t="s">
        <v>156</v>
      </c>
      <c r="B300" s="36" t="s">
        <v>155</v>
      </c>
      <c r="C300" s="30" t="s">
        <v>10</v>
      </c>
      <c r="D300" s="29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29">
        <v>0</v>
      </c>
      <c r="K300" s="29">
        <f t="shared" si="18"/>
        <v>0</v>
      </c>
      <c r="L300" s="28"/>
    </row>
    <row r="301" spans="1:12" ht="15.75" x14ac:dyDescent="0.15">
      <c r="A301" s="32" t="s">
        <v>154</v>
      </c>
      <c r="B301" s="45" t="s">
        <v>132</v>
      </c>
      <c r="C301" s="30" t="s">
        <v>10</v>
      </c>
      <c r="D301" s="29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29">
        <v>0</v>
      </c>
      <c r="K301" s="29">
        <f t="shared" si="18"/>
        <v>0</v>
      </c>
      <c r="L301" s="28"/>
    </row>
    <row r="302" spans="1:12" ht="31.5" x14ac:dyDescent="0.15">
      <c r="A302" s="32" t="s">
        <v>153</v>
      </c>
      <c r="B302" s="36" t="s">
        <v>152</v>
      </c>
      <c r="C302" s="30" t="s">
        <v>10</v>
      </c>
      <c r="D302" s="29">
        <v>0</v>
      </c>
      <c r="E302" s="18">
        <v>110.66</v>
      </c>
      <c r="F302" s="18">
        <v>0</v>
      </c>
      <c r="G302" s="18">
        <f>+G72*1.2-G200+E302</f>
        <v>25.000000000000028</v>
      </c>
      <c r="H302" s="18">
        <v>0</v>
      </c>
      <c r="I302" s="18">
        <f>+I72*1.2-I200+G302</f>
        <v>30.000000000000028</v>
      </c>
      <c r="J302" s="29">
        <v>0</v>
      </c>
      <c r="K302" s="29">
        <f t="shared" si="18"/>
        <v>30.000000000000028</v>
      </c>
      <c r="L302" s="28"/>
    </row>
    <row r="303" spans="1:12" ht="15.75" x14ac:dyDescent="0.15">
      <c r="A303" s="32" t="s">
        <v>151</v>
      </c>
      <c r="B303" s="45" t="s">
        <v>132</v>
      </c>
      <c r="C303" s="30" t="s">
        <v>10</v>
      </c>
      <c r="D303" s="29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29">
        <v>0</v>
      </c>
      <c r="K303" s="29">
        <f t="shared" si="18"/>
        <v>0</v>
      </c>
      <c r="L303" s="28"/>
    </row>
    <row r="304" spans="1:12" ht="15.75" x14ac:dyDescent="0.15">
      <c r="A304" s="32" t="s">
        <v>150</v>
      </c>
      <c r="B304" s="36" t="s">
        <v>149</v>
      </c>
      <c r="C304" s="30" t="s">
        <v>10</v>
      </c>
      <c r="D304" s="29">
        <v>0</v>
      </c>
      <c r="E304" s="18">
        <v>812.51</v>
      </c>
      <c r="F304" s="18">
        <v>0</v>
      </c>
      <c r="G304" s="18">
        <f>+E304+G73*1.2-G201</f>
        <v>955.55999999999949</v>
      </c>
      <c r="H304" s="18">
        <v>0</v>
      </c>
      <c r="I304" s="18">
        <f>+G304+I73*1.2-I201</f>
        <v>854.64999999999964</v>
      </c>
      <c r="J304" s="29">
        <v>0</v>
      </c>
      <c r="K304" s="29">
        <f t="shared" si="18"/>
        <v>854.64999999999964</v>
      </c>
      <c r="L304" s="28"/>
    </row>
    <row r="305" spans="1:12" ht="15.75" x14ac:dyDescent="0.15">
      <c r="A305" s="32" t="s">
        <v>148</v>
      </c>
      <c r="B305" s="45" t="s">
        <v>132</v>
      </c>
      <c r="C305" s="30" t="s">
        <v>10</v>
      </c>
      <c r="D305" s="29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29">
        <v>0</v>
      </c>
      <c r="K305" s="29">
        <f t="shared" si="18"/>
        <v>0</v>
      </c>
      <c r="L305" s="28"/>
    </row>
    <row r="306" spans="1:12" ht="15.75" x14ac:dyDescent="0.15">
      <c r="A306" s="32" t="s">
        <v>147</v>
      </c>
      <c r="B306" s="36" t="s">
        <v>146</v>
      </c>
      <c r="C306" s="30" t="s">
        <v>10</v>
      </c>
      <c r="D306" s="29">
        <v>0</v>
      </c>
      <c r="E306" s="18">
        <v>0.91</v>
      </c>
      <c r="F306" s="18">
        <v>0</v>
      </c>
      <c r="G306" s="18">
        <v>0.85</v>
      </c>
      <c r="H306" s="18">
        <v>0</v>
      </c>
      <c r="I306" s="18">
        <v>0.95</v>
      </c>
      <c r="J306" s="29">
        <v>0</v>
      </c>
      <c r="K306" s="29">
        <f t="shared" si="18"/>
        <v>0.95</v>
      </c>
      <c r="L306" s="28"/>
    </row>
    <row r="307" spans="1:12" ht="15.75" x14ac:dyDescent="0.15">
      <c r="A307" s="32" t="s">
        <v>145</v>
      </c>
      <c r="B307" s="45" t="s">
        <v>132</v>
      </c>
      <c r="C307" s="30" t="s">
        <v>10</v>
      </c>
      <c r="D307" s="29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29">
        <v>0</v>
      </c>
      <c r="K307" s="29">
        <f t="shared" si="18"/>
        <v>0</v>
      </c>
      <c r="L307" s="28"/>
    </row>
    <row r="308" spans="1:12" ht="15.75" x14ac:dyDescent="0.15">
      <c r="A308" s="32" t="s">
        <v>144</v>
      </c>
      <c r="B308" s="36" t="s">
        <v>143</v>
      </c>
      <c r="C308" s="30" t="s">
        <v>10</v>
      </c>
      <c r="D308" s="29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29">
        <v>0</v>
      </c>
      <c r="K308" s="29">
        <f t="shared" si="18"/>
        <v>0</v>
      </c>
      <c r="L308" s="28"/>
    </row>
    <row r="309" spans="1:12" ht="15.75" x14ac:dyDescent="0.15">
      <c r="A309" s="32" t="s">
        <v>142</v>
      </c>
      <c r="B309" s="45" t="s">
        <v>132</v>
      </c>
      <c r="C309" s="30" t="s">
        <v>10</v>
      </c>
      <c r="D309" s="29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29">
        <v>0</v>
      </c>
      <c r="K309" s="29">
        <f t="shared" si="18"/>
        <v>0</v>
      </c>
      <c r="L309" s="28"/>
    </row>
    <row r="310" spans="1:12" ht="15.75" x14ac:dyDescent="0.15">
      <c r="A310" s="32" t="s">
        <v>141</v>
      </c>
      <c r="B310" s="36" t="s">
        <v>140</v>
      </c>
      <c r="C310" s="30" t="s">
        <v>10</v>
      </c>
      <c r="D310" s="29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29">
        <v>0</v>
      </c>
      <c r="K310" s="29">
        <f t="shared" si="18"/>
        <v>0</v>
      </c>
      <c r="L310" s="28"/>
    </row>
    <row r="311" spans="1:12" ht="15.75" x14ac:dyDescent="0.15">
      <c r="A311" s="32" t="s">
        <v>139</v>
      </c>
      <c r="B311" s="45" t="s">
        <v>132</v>
      </c>
      <c r="C311" s="30" t="s">
        <v>10</v>
      </c>
      <c r="D311" s="29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29">
        <v>0</v>
      </c>
      <c r="K311" s="29">
        <f t="shared" si="18"/>
        <v>0</v>
      </c>
      <c r="L311" s="28"/>
    </row>
    <row r="312" spans="1:12" ht="31.5" x14ac:dyDescent="0.15">
      <c r="A312" s="32" t="s">
        <v>138</v>
      </c>
      <c r="B312" s="36" t="s">
        <v>137</v>
      </c>
      <c r="C312" s="30" t="s">
        <v>10</v>
      </c>
      <c r="D312" s="29">
        <v>0</v>
      </c>
      <c r="E312" s="18">
        <v>0.85</v>
      </c>
      <c r="F312" s="18">
        <v>0</v>
      </c>
      <c r="G312" s="18">
        <v>0.35</v>
      </c>
      <c r="H312" s="18">
        <v>0</v>
      </c>
      <c r="I312" s="18">
        <v>0.35</v>
      </c>
      <c r="J312" s="29">
        <v>0</v>
      </c>
      <c r="K312" s="29">
        <f t="shared" si="18"/>
        <v>0.35</v>
      </c>
      <c r="L312" s="28"/>
    </row>
    <row r="313" spans="1:12" ht="15.75" x14ac:dyDescent="0.15">
      <c r="A313" s="32" t="s">
        <v>136</v>
      </c>
      <c r="B313" s="45" t="s">
        <v>132</v>
      </c>
      <c r="C313" s="30" t="s">
        <v>10</v>
      </c>
      <c r="D313" s="29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29">
        <v>0</v>
      </c>
      <c r="K313" s="29">
        <f t="shared" si="18"/>
        <v>0</v>
      </c>
      <c r="L313" s="28"/>
    </row>
    <row r="314" spans="1:12" ht="15.75" x14ac:dyDescent="0.15">
      <c r="A314" s="32" t="s">
        <v>135</v>
      </c>
      <c r="B314" s="36" t="s">
        <v>134</v>
      </c>
      <c r="C314" s="30" t="s">
        <v>10</v>
      </c>
      <c r="D314" s="29">
        <v>0</v>
      </c>
      <c r="E314" s="18">
        <f>4258.2-E312-E310-E308-E306-E304-E302-E297</f>
        <v>3215.3599999999997</v>
      </c>
      <c r="F314" s="18">
        <v>0</v>
      </c>
      <c r="G314" s="18">
        <f>+G217-G222</f>
        <v>3700.9425833600003</v>
      </c>
      <c r="H314" s="18">
        <v>0</v>
      </c>
      <c r="I314" s="18">
        <f>+I217-I222+G314+E314</f>
        <v>1789.4952057182168</v>
      </c>
      <c r="J314" s="29">
        <v>0</v>
      </c>
      <c r="K314" s="29">
        <f t="shared" si="18"/>
        <v>1789.4952057182168</v>
      </c>
      <c r="L314" s="28"/>
    </row>
    <row r="315" spans="1:12" ht="15.75" x14ac:dyDescent="0.15">
      <c r="A315" s="32" t="s">
        <v>133</v>
      </c>
      <c r="B315" s="45" t="s">
        <v>132</v>
      </c>
      <c r="C315" s="30" t="s">
        <v>10</v>
      </c>
      <c r="D315" s="29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29">
        <v>0</v>
      </c>
      <c r="K315" s="29">
        <f t="shared" si="18"/>
        <v>0</v>
      </c>
      <c r="L315" s="28"/>
    </row>
    <row r="316" spans="1:12" ht="31.5" x14ac:dyDescent="0.15">
      <c r="A316" s="15" t="s">
        <v>131</v>
      </c>
      <c r="B316" s="44" t="s">
        <v>130</v>
      </c>
      <c r="C316" s="13" t="s">
        <v>107</v>
      </c>
      <c r="D316" s="43">
        <v>1</v>
      </c>
      <c r="E316" s="43">
        <f>+E322</f>
        <v>98.597298781989323</v>
      </c>
      <c r="F316" s="43">
        <v>0.97657543869704677</v>
      </c>
      <c r="G316" s="43">
        <f>+G322</f>
        <v>96.037913740512323</v>
      </c>
      <c r="H316" s="43">
        <v>1</v>
      </c>
      <c r="I316" s="43">
        <f>+I322</f>
        <v>94.404689086290688</v>
      </c>
      <c r="J316" s="43">
        <v>1</v>
      </c>
      <c r="K316" s="43">
        <f>+K322</f>
        <v>96.238407582680836</v>
      </c>
      <c r="L316" s="42"/>
    </row>
    <row r="317" spans="1:12" ht="15.75" x14ac:dyDescent="0.15">
      <c r="A317" s="32" t="s">
        <v>129</v>
      </c>
      <c r="B317" s="36" t="s">
        <v>128</v>
      </c>
      <c r="C317" s="30" t="s">
        <v>107</v>
      </c>
      <c r="D317" s="29">
        <v>0</v>
      </c>
      <c r="E317" s="29">
        <v>0</v>
      </c>
      <c r="F317" s="29">
        <v>0</v>
      </c>
      <c r="G317" s="29">
        <v>0</v>
      </c>
      <c r="H317" s="29">
        <v>0</v>
      </c>
      <c r="I317" s="29">
        <v>0</v>
      </c>
      <c r="J317" s="29">
        <v>0</v>
      </c>
      <c r="K317" s="29">
        <v>0</v>
      </c>
      <c r="L317" s="28"/>
    </row>
    <row r="318" spans="1:12" ht="31.5" x14ac:dyDescent="0.15">
      <c r="A318" s="32" t="s">
        <v>127</v>
      </c>
      <c r="B318" s="36" t="s">
        <v>126</v>
      </c>
      <c r="C318" s="30" t="s">
        <v>107</v>
      </c>
      <c r="D318" s="29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8"/>
    </row>
    <row r="319" spans="1:12" ht="31.5" x14ac:dyDescent="0.15">
      <c r="A319" s="32" t="s">
        <v>125</v>
      </c>
      <c r="B319" s="36" t="s">
        <v>124</v>
      </c>
      <c r="C319" s="30" t="s">
        <v>107</v>
      </c>
      <c r="D319" s="29">
        <v>0</v>
      </c>
      <c r="E319" s="29">
        <v>0</v>
      </c>
      <c r="F319" s="29">
        <v>0</v>
      </c>
      <c r="G319" s="29">
        <v>0</v>
      </c>
      <c r="H319" s="29">
        <v>0</v>
      </c>
      <c r="I319" s="29">
        <v>0</v>
      </c>
      <c r="J319" s="29">
        <v>0</v>
      </c>
      <c r="K319" s="29">
        <v>0</v>
      </c>
      <c r="L319" s="28"/>
    </row>
    <row r="320" spans="1:12" ht="31.5" x14ac:dyDescent="0.15">
      <c r="A320" s="32" t="s">
        <v>123</v>
      </c>
      <c r="B320" s="36" t="s">
        <v>122</v>
      </c>
      <c r="C320" s="30" t="s">
        <v>107</v>
      </c>
      <c r="D320" s="29">
        <v>0</v>
      </c>
      <c r="E320" s="29">
        <v>0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8"/>
    </row>
    <row r="321" spans="1:13" ht="15.75" x14ac:dyDescent="0.15">
      <c r="A321" s="32" t="s">
        <v>121</v>
      </c>
      <c r="B321" s="36" t="s">
        <v>120</v>
      </c>
      <c r="C321" s="30" t="s">
        <v>107</v>
      </c>
      <c r="D321" s="29">
        <v>0</v>
      </c>
      <c r="E321" s="29">
        <v>0</v>
      </c>
      <c r="F321" s="29">
        <v>0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8"/>
    </row>
    <row r="322" spans="1:13" ht="15.75" x14ac:dyDescent="0.15">
      <c r="A322" s="32" t="s">
        <v>119</v>
      </c>
      <c r="B322" s="36" t="s">
        <v>118</v>
      </c>
      <c r="C322" s="30" t="s">
        <v>107</v>
      </c>
      <c r="D322" s="29">
        <v>1</v>
      </c>
      <c r="E322" s="29">
        <f>+(E182+3253.29)/E194*100</f>
        <v>98.597298781989323</v>
      </c>
      <c r="F322" s="29">
        <v>0.97657543869704677</v>
      </c>
      <c r="G322" s="29">
        <f>+(G182+1146.87)/G194*100</f>
        <v>96.037913740512323</v>
      </c>
      <c r="H322" s="29">
        <v>1</v>
      </c>
      <c r="I322" s="29">
        <f>+(I182+2200.75)/I194*100</f>
        <v>94.404689086290688</v>
      </c>
      <c r="J322" s="29">
        <v>1</v>
      </c>
      <c r="K322" s="29">
        <f>+(K182+M322)/K194*100</f>
        <v>96.238407582680836</v>
      </c>
      <c r="L322" s="28"/>
      <c r="M322" s="41">
        <f>3253.29+1146.87+2200.75</f>
        <v>6600.91</v>
      </c>
    </row>
    <row r="323" spans="1:13" ht="15.75" x14ac:dyDescent="0.15">
      <c r="A323" s="32" t="s">
        <v>117</v>
      </c>
      <c r="B323" s="36" t="s">
        <v>116</v>
      </c>
      <c r="C323" s="30" t="s">
        <v>107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8"/>
    </row>
    <row r="324" spans="1:13" ht="15.75" x14ac:dyDescent="0.15">
      <c r="A324" s="32" t="s">
        <v>115</v>
      </c>
      <c r="B324" s="36" t="s">
        <v>114</v>
      </c>
      <c r="C324" s="30" t="s">
        <v>107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8"/>
    </row>
    <row r="325" spans="1:13" ht="15.75" x14ac:dyDescent="0.15">
      <c r="A325" s="32" t="s">
        <v>113</v>
      </c>
      <c r="B325" s="36" t="s">
        <v>112</v>
      </c>
      <c r="C325" s="30" t="s">
        <v>107</v>
      </c>
      <c r="D325" s="29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8"/>
    </row>
    <row r="326" spans="1:13" ht="31.5" x14ac:dyDescent="0.15">
      <c r="A326" s="32" t="s">
        <v>111</v>
      </c>
      <c r="B326" s="36" t="s">
        <v>110</v>
      </c>
      <c r="C326" s="30" t="s">
        <v>107</v>
      </c>
      <c r="D326" s="29">
        <v>0</v>
      </c>
      <c r="E326" s="29">
        <v>0</v>
      </c>
      <c r="F326" s="29">
        <v>0</v>
      </c>
      <c r="G326" s="29">
        <v>0</v>
      </c>
      <c r="H326" s="29">
        <v>0</v>
      </c>
      <c r="I326" s="29">
        <v>0</v>
      </c>
      <c r="J326" s="29">
        <v>0</v>
      </c>
      <c r="K326" s="29">
        <v>0</v>
      </c>
      <c r="L326" s="28"/>
    </row>
    <row r="327" spans="1:13" ht="15.75" x14ac:dyDescent="0.15">
      <c r="A327" s="32" t="s">
        <v>109</v>
      </c>
      <c r="B327" s="36" t="s">
        <v>13</v>
      </c>
      <c r="C327" s="30" t="s">
        <v>107</v>
      </c>
      <c r="D327" s="29">
        <v>0</v>
      </c>
      <c r="E327" s="29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8"/>
    </row>
    <row r="328" spans="1:13" ht="15.75" x14ac:dyDescent="0.15">
      <c r="A328" s="32" t="s">
        <v>108</v>
      </c>
      <c r="B328" s="36" t="s">
        <v>11</v>
      </c>
      <c r="C328" s="30" t="s">
        <v>107</v>
      </c>
      <c r="D328" s="29">
        <v>0</v>
      </c>
      <c r="E328" s="29">
        <v>0</v>
      </c>
      <c r="F328" s="29">
        <v>0</v>
      </c>
      <c r="G328" s="29">
        <v>0</v>
      </c>
      <c r="H328" s="29">
        <v>0</v>
      </c>
      <c r="I328" s="29">
        <v>0</v>
      </c>
      <c r="J328" s="29">
        <v>0</v>
      </c>
      <c r="K328" s="29">
        <v>0</v>
      </c>
      <c r="L328" s="28"/>
    </row>
    <row r="329" spans="1:13" s="40" customFormat="1" ht="15" customHeight="1" x14ac:dyDescent="0.15">
      <c r="A329" s="119" t="s">
        <v>106</v>
      </c>
      <c r="B329" s="120"/>
      <c r="C329" s="120"/>
      <c r="D329" s="120"/>
      <c r="E329" s="120"/>
      <c r="F329" s="120"/>
      <c r="G329" s="120"/>
      <c r="H329" s="120"/>
      <c r="I329" s="120"/>
      <c r="J329" s="120"/>
      <c r="K329" s="10"/>
      <c r="L329" s="10"/>
    </row>
    <row r="330" spans="1:13" ht="15.75" x14ac:dyDescent="0.15">
      <c r="A330" s="15" t="s">
        <v>105</v>
      </c>
      <c r="B330" s="14" t="s">
        <v>104</v>
      </c>
      <c r="C330" s="13" t="s">
        <v>34</v>
      </c>
      <c r="D330" s="27" t="s">
        <v>33</v>
      </c>
      <c r="E330" s="27" t="s">
        <v>33</v>
      </c>
      <c r="F330" s="27" t="s">
        <v>33</v>
      </c>
      <c r="G330" s="27" t="s">
        <v>33</v>
      </c>
      <c r="H330" s="27" t="s">
        <v>33</v>
      </c>
      <c r="I330" s="27" t="s">
        <v>33</v>
      </c>
      <c r="J330" s="27" t="s">
        <v>33</v>
      </c>
      <c r="K330" s="27" t="s">
        <v>33</v>
      </c>
      <c r="L330" s="26"/>
    </row>
    <row r="331" spans="1:13" ht="15.75" x14ac:dyDescent="0.15">
      <c r="A331" s="32" t="s">
        <v>103</v>
      </c>
      <c r="B331" s="31" t="s">
        <v>102</v>
      </c>
      <c r="C331" s="30" t="s">
        <v>24</v>
      </c>
      <c r="D331" s="29">
        <v>0</v>
      </c>
      <c r="E331" s="29">
        <v>0</v>
      </c>
      <c r="F331" s="29">
        <v>0</v>
      </c>
      <c r="G331" s="29">
        <v>0</v>
      </c>
      <c r="H331" s="29">
        <v>0</v>
      </c>
      <c r="I331" s="29">
        <v>0</v>
      </c>
      <c r="J331" s="29">
        <v>0</v>
      </c>
      <c r="K331" s="29">
        <v>0</v>
      </c>
      <c r="L331" s="28"/>
    </row>
    <row r="332" spans="1:13" ht="15.75" x14ac:dyDescent="0.15">
      <c r="A332" s="32" t="s">
        <v>101</v>
      </c>
      <c r="B332" s="31" t="s">
        <v>100</v>
      </c>
      <c r="C332" s="30" t="s">
        <v>41</v>
      </c>
      <c r="D332" s="29">
        <v>0</v>
      </c>
      <c r="E332" s="2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8"/>
    </row>
    <row r="333" spans="1:13" ht="15.75" x14ac:dyDescent="0.15">
      <c r="A333" s="32" t="s">
        <v>99</v>
      </c>
      <c r="B333" s="31" t="s">
        <v>98</v>
      </c>
      <c r="C333" s="30" t="s">
        <v>24</v>
      </c>
      <c r="D333" s="29">
        <v>0</v>
      </c>
      <c r="E333" s="29">
        <v>0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0</v>
      </c>
      <c r="L333" s="28"/>
    </row>
    <row r="334" spans="1:13" ht="15.75" x14ac:dyDescent="0.15">
      <c r="A334" s="32" t="s">
        <v>97</v>
      </c>
      <c r="B334" s="31" t="s">
        <v>96</v>
      </c>
      <c r="C334" s="30" t="s">
        <v>41</v>
      </c>
      <c r="D334" s="29">
        <v>0</v>
      </c>
      <c r="E334" s="29">
        <v>0</v>
      </c>
      <c r="F334" s="29">
        <v>0</v>
      </c>
      <c r="G334" s="29">
        <v>0</v>
      </c>
      <c r="H334" s="29">
        <v>0</v>
      </c>
      <c r="I334" s="29">
        <v>0</v>
      </c>
      <c r="J334" s="29">
        <v>0</v>
      </c>
      <c r="K334" s="29">
        <v>0</v>
      </c>
      <c r="L334" s="28"/>
    </row>
    <row r="335" spans="1:13" ht="15.75" x14ac:dyDescent="0.15">
      <c r="A335" s="32" t="s">
        <v>95</v>
      </c>
      <c r="B335" s="31" t="s">
        <v>94</v>
      </c>
      <c r="C335" s="30" t="s">
        <v>17</v>
      </c>
      <c r="D335" s="29">
        <v>0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8"/>
    </row>
    <row r="336" spans="1:13" ht="15.75" x14ac:dyDescent="0.15">
      <c r="A336" s="32" t="s">
        <v>93</v>
      </c>
      <c r="B336" s="31" t="s">
        <v>92</v>
      </c>
      <c r="C336" s="30" t="s">
        <v>34</v>
      </c>
      <c r="D336" s="38" t="s">
        <v>33</v>
      </c>
      <c r="E336" s="38" t="s">
        <v>33</v>
      </c>
      <c r="F336" s="38" t="s">
        <v>33</v>
      </c>
      <c r="G336" s="38" t="s">
        <v>33</v>
      </c>
      <c r="H336" s="38" t="s">
        <v>33</v>
      </c>
      <c r="I336" s="38" t="s">
        <v>33</v>
      </c>
      <c r="J336" s="38" t="s">
        <v>33</v>
      </c>
      <c r="K336" s="38" t="s">
        <v>33</v>
      </c>
      <c r="L336" s="37"/>
    </row>
    <row r="337" spans="1:12" ht="15.75" x14ac:dyDescent="0.15">
      <c r="A337" s="32" t="s">
        <v>91</v>
      </c>
      <c r="B337" s="36" t="s">
        <v>77</v>
      </c>
      <c r="C337" s="30" t="s">
        <v>17</v>
      </c>
      <c r="D337" s="29">
        <v>0</v>
      </c>
      <c r="E337" s="2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8"/>
    </row>
    <row r="338" spans="1:12" ht="15.75" x14ac:dyDescent="0.15">
      <c r="A338" s="32" t="s">
        <v>90</v>
      </c>
      <c r="B338" s="36" t="s">
        <v>73</v>
      </c>
      <c r="C338" s="30" t="s">
        <v>72</v>
      </c>
      <c r="D338" s="29">
        <v>0</v>
      </c>
      <c r="E338" s="29">
        <v>0</v>
      </c>
      <c r="F338" s="29">
        <v>0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28"/>
    </row>
    <row r="339" spans="1:12" ht="15.75" x14ac:dyDescent="0.15">
      <c r="A339" s="32" t="s">
        <v>89</v>
      </c>
      <c r="B339" s="31" t="s">
        <v>88</v>
      </c>
      <c r="C339" s="30" t="s">
        <v>34</v>
      </c>
      <c r="D339" s="38" t="s">
        <v>33</v>
      </c>
      <c r="E339" s="38" t="s">
        <v>33</v>
      </c>
      <c r="F339" s="38" t="s">
        <v>33</v>
      </c>
      <c r="G339" s="38" t="s">
        <v>33</v>
      </c>
      <c r="H339" s="39" t="s">
        <v>33</v>
      </c>
      <c r="I339" s="39" t="s">
        <v>33</v>
      </c>
      <c r="J339" s="38" t="s">
        <v>33</v>
      </c>
      <c r="K339" s="38" t="s">
        <v>33</v>
      </c>
      <c r="L339" s="37"/>
    </row>
    <row r="340" spans="1:12" ht="15.75" x14ac:dyDescent="0.15">
      <c r="A340" s="32" t="s">
        <v>87</v>
      </c>
      <c r="B340" s="36" t="s">
        <v>77</v>
      </c>
      <c r="C340" s="30" t="s">
        <v>17</v>
      </c>
      <c r="D340" s="29">
        <v>0</v>
      </c>
      <c r="E340" s="29">
        <v>0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8"/>
    </row>
    <row r="341" spans="1:12" ht="15.75" x14ac:dyDescent="0.15">
      <c r="A341" s="32" t="s">
        <v>86</v>
      </c>
      <c r="B341" s="36" t="s">
        <v>75</v>
      </c>
      <c r="C341" s="30" t="s">
        <v>24</v>
      </c>
      <c r="D341" s="29">
        <v>0</v>
      </c>
      <c r="E341" s="29">
        <v>0</v>
      </c>
      <c r="F341" s="29">
        <v>0</v>
      </c>
      <c r="G341" s="29">
        <v>0</v>
      </c>
      <c r="H341" s="29">
        <v>0</v>
      </c>
      <c r="I341" s="29">
        <v>0</v>
      </c>
      <c r="J341" s="29">
        <v>0</v>
      </c>
      <c r="K341" s="29">
        <v>0</v>
      </c>
      <c r="L341" s="28"/>
    </row>
    <row r="342" spans="1:12" ht="15.75" x14ac:dyDescent="0.15">
      <c r="A342" s="32" t="s">
        <v>85</v>
      </c>
      <c r="B342" s="36" t="s">
        <v>73</v>
      </c>
      <c r="C342" s="30" t="s">
        <v>72</v>
      </c>
      <c r="D342" s="29">
        <v>0</v>
      </c>
      <c r="E342" s="29">
        <v>0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8"/>
    </row>
    <row r="343" spans="1:12" ht="15.75" x14ac:dyDescent="0.15">
      <c r="A343" s="32" t="s">
        <v>84</v>
      </c>
      <c r="B343" s="31" t="s">
        <v>83</v>
      </c>
      <c r="C343" s="30" t="s">
        <v>34</v>
      </c>
      <c r="D343" s="38" t="s">
        <v>33</v>
      </c>
      <c r="E343" s="38" t="s">
        <v>33</v>
      </c>
      <c r="F343" s="38" t="s">
        <v>33</v>
      </c>
      <c r="G343" s="38" t="s">
        <v>33</v>
      </c>
      <c r="H343" s="38" t="s">
        <v>33</v>
      </c>
      <c r="I343" s="38" t="s">
        <v>33</v>
      </c>
      <c r="J343" s="38" t="s">
        <v>33</v>
      </c>
      <c r="K343" s="38" t="s">
        <v>33</v>
      </c>
      <c r="L343" s="37"/>
    </row>
    <row r="344" spans="1:12" ht="15.75" x14ac:dyDescent="0.15">
      <c r="A344" s="32" t="s">
        <v>82</v>
      </c>
      <c r="B344" s="36" t="s">
        <v>77</v>
      </c>
      <c r="C344" s="30" t="s">
        <v>17</v>
      </c>
      <c r="D344" s="29">
        <v>0</v>
      </c>
      <c r="E344" s="29">
        <v>0</v>
      </c>
      <c r="F344" s="29">
        <v>0</v>
      </c>
      <c r="G344" s="29">
        <v>0</v>
      </c>
      <c r="H344" s="29">
        <v>0</v>
      </c>
      <c r="I344" s="29">
        <v>0</v>
      </c>
      <c r="J344" s="29">
        <v>0</v>
      </c>
      <c r="K344" s="29">
        <v>0</v>
      </c>
      <c r="L344" s="28"/>
    </row>
    <row r="345" spans="1:12" ht="15.75" x14ac:dyDescent="0.15">
      <c r="A345" s="32" t="s">
        <v>81</v>
      </c>
      <c r="B345" s="36" t="s">
        <v>73</v>
      </c>
      <c r="C345" s="30" t="s">
        <v>72</v>
      </c>
      <c r="D345" s="29">
        <v>0</v>
      </c>
      <c r="E345" s="29">
        <v>0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8"/>
    </row>
    <row r="346" spans="1:12" ht="15.75" x14ac:dyDescent="0.15">
      <c r="A346" s="32" t="s">
        <v>80</v>
      </c>
      <c r="B346" s="31" t="s">
        <v>79</v>
      </c>
      <c r="C346" s="30" t="s">
        <v>34</v>
      </c>
      <c r="D346" s="38" t="s">
        <v>33</v>
      </c>
      <c r="E346" s="38" t="s">
        <v>33</v>
      </c>
      <c r="F346" s="38" t="s">
        <v>33</v>
      </c>
      <c r="G346" s="38" t="s">
        <v>33</v>
      </c>
      <c r="H346" s="38" t="s">
        <v>33</v>
      </c>
      <c r="I346" s="38" t="s">
        <v>33</v>
      </c>
      <c r="J346" s="38" t="s">
        <v>33</v>
      </c>
      <c r="K346" s="38" t="s">
        <v>33</v>
      </c>
      <c r="L346" s="37"/>
    </row>
    <row r="347" spans="1:12" ht="15.75" x14ac:dyDescent="0.15">
      <c r="A347" s="32" t="s">
        <v>78</v>
      </c>
      <c r="B347" s="36" t="s">
        <v>77</v>
      </c>
      <c r="C347" s="30" t="s">
        <v>17</v>
      </c>
      <c r="D347" s="29">
        <v>0</v>
      </c>
      <c r="E347" s="29">
        <v>0</v>
      </c>
      <c r="F347" s="29">
        <v>0</v>
      </c>
      <c r="G347" s="29">
        <v>0</v>
      </c>
      <c r="H347" s="29">
        <v>0</v>
      </c>
      <c r="I347" s="29">
        <v>0</v>
      </c>
      <c r="J347" s="29">
        <v>0</v>
      </c>
      <c r="K347" s="29">
        <v>0</v>
      </c>
      <c r="L347" s="28"/>
    </row>
    <row r="348" spans="1:12" ht="15.75" x14ac:dyDescent="0.15">
      <c r="A348" s="32" t="s">
        <v>76</v>
      </c>
      <c r="B348" s="36" t="s">
        <v>75</v>
      </c>
      <c r="C348" s="30" t="s">
        <v>24</v>
      </c>
      <c r="D348" s="29">
        <v>0</v>
      </c>
      <c r="E348" s="29">
        <v>0</v>
      </c>
      <c r="F348" s="29">
        <v>0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8"/>
    </row>
    <row r="349" spans="1:12" ht="15.75" x14ac:dyDescent="0.15">
      <c r="A349" s="32" t="s">
        <v>74</v>
      </c>
      <c r="B349" s="36" t="s">
        <v>73</v>
      </c>
      <c r="C349" s="30" t="s">
        <v>72</v>
      </c>
      <c r="D349" s="29">
        <v>0</v>
      </c>
      <c r="E349" s="29">
        <v>0</v>
      </c>
      <c r="F349" s="29">
        <v>0</v>
      </c>
      <c r="G349" s="29">
        <v>0</v>
      </c>
      <c r="H349" s="29">
        <v>0</v>
      </c>
      <c r="I349" s="29">
        <v>0</v>
      </c>
      <c r="J349" s="29">
        <v>0</v>
      </c>
      <c r="K349" s="29">
        <v>0</v>
      </c>
      <c r="L349" s="28"/>
    </row>
    <row r="350" spans="1:12" ht="15.75" x14ac:dyDescent="0.15">
      <c r="A350" s="15" t="s">
        <v>71</v>
      </c>
      <c r="B350" s="14" t="s">
        <v>70</v>
      </c>
      <c r="C350" s="13" t="s">
        <v>34</v>
      </c>
      <c r="D350" s="27" t="s">
        <v>33</v>
      </c>
      <c r="E350" s="27" t="s">
        <v>33</v>
      </c>
      <c r="F350" s="27" t="s">
        <v>33</v>
      </c>
      <c r="G350" s="27" t="s">
        <v>33</v>
      </c>
      <c r="H350" s="27" t="s">
        <v>33</v>
      </c>
      <c r="I350" s="27" t="s">
        <v>33</v>
      </c>
      <c r="J350" s="27" t="s">
        <v>33</v>
      </c>
      <c r="K350" s="27" t="s">
        <v>33</v>
      </c>
      <c r="L350" s="26"/>
    </row>
    <row r="351" spans="1:12" ht="15.75" x14ac:dyDescent="0.15">
      <c r="A351" s="32" t="s">
        <v>69</v>
      </c>
      <c r="B351" s="31" t="s">
        <v>68</v>
      </c>
      <c r="C351" s="30" t="s">
        <v>17</v>
      </c>
      <c r="D351" s="24">
        <v>2733.35</v>
      </c>
      <c r="E351" s="24">
        <f>+E353</f>
        <v>3363.2055186597604</v>
      </c>
      <c r="F351" s="24">
        <v>4854.62</v>
      </c>
      <c r="G351" s="24">
        <f>+G353</f>
        <v>4854.6190000000006</v>
      </c>
      <c r="H351" s="24">
        <v>4854.8900000000003</v>
      </c>
      <c r="I351" s="24">
        <v>4058.1819999999998</v>
      </c>
      <c r="J351" s="24">
        <f t="shared" ref="J351:J359" si="19">+D351+F351+H351</f>
        <v>12442.86</v>
      </c>
      <c r="K351" s="24">
        <f t="shared" ref="K351:K359" si="20">+E351+G351+I351</f>
        <v>12276.00651865976</v>
      </c>
      <c r="L351" s="23"/>
    </row>
    <row r="352" spans="1:12" ht="31.5" x14ac:dyDescent="0.15">
      <c r="A352" s="32" t="s">
        <v>67</v>
      </c>
      <c r="B352" s="36" t="s">
        <v>66</v>
      </c>
      <c r="C352" s="30" t="s">
        <v>17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24">
        <f t="shared" si="19"/>
        <v>0</v>
      </c>
      <c r="K352" s="24">
        <f t="shared" si="20"/>
        <v>0</v>
      </c>
      <c r="L352" s="17"/>
    </row>
    <row r="353" spans="1:12" ht="15.75" x14ac:dyDescent="0.15">
      <c r="A353" s="32" t="s">
        <v>65</v>
      </c>
      <c r="B353" s="36" t="s">
        <v>64</v>
      </c>
      <c r="C353" s="30" t="s">
        <v>17</v>
      </c>
      <c r="D353" s="24">
        <v>2733.35</v>
      </c>
      <c r="E353" s="24">
        <v>3363.2055186597604</v>
      </c>
      <c r="F353" s="24">
        <v>4854.62</v>
      </c>
      <c r="G353" s="24">
        <v>4854.6190000000006</v>
      </c>
      <c r="H353" s="24">
        <v>4854.8900000000003</v>
      </c>
      <c r="I353" s="24">
        <f>+I351</f>
        <v>4058.1819999999998</v>
      </c>
      <c r="J353" s="24">
        <f t="shared" si="19"/>
        <v>12442.86</v>
      </c>
      <c r="K353" s="24">
        <f t="shared" si="20"/>
        <v>12276.00651865976</v>
      </c>
      <c r="L353" s="23"/>
    </row>
    <row r="354" spans="1:12" ht="15.75" x14ac:dyDescent="0.15">
      <c r="A354" s="32" t="s">
        <v>63</v>
      </c>
      <c r="B354" s="36" t="s">
        <v>53</v>
      </c>
      <c r="C354" s="30" t="s">
        <v>17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f t="shared" si="19"/>
        <v>0</v>
      </c>
      <c r="K354" s="24">
        <f t="shared" si="20"/>
        <v>0</v>
      </c>
      <c r="L354" s="23"/>
    </row>
    <row r="355" spans="1:12" ht="15.75" x14ac:dyDescent="0.15">
      <c r="A355" s="32" t="s">
        <v>62</v>
      </c>
      <c r="B355" s="31" t="s">
        <v>61</v>
      </c>
      <c r="C355" s="30" t="s">
        <v>17</v>
      </c>
      <c r="D355" s="24">
        <v>120.06</v>
      </c>
      <c r="E355" s="24">
        <v>60.42</v>
      </c>
      <c r="F355" s="24">
        <v>213.36</v>
      </c>
      <c r="G355" s="24">
        <f>+F355</f>
        <v>213.36</v>
      </c>
      <c r="H355" s="24">
        <v>213.09</v>
      </c>
      <c r="I355" s="24">
        <f>+I353*1.0421-I353</f>
        <v>170.84946219999983</v>
      </c>
      <c r="J355" s="24">
        <f t="shared" si="19"/>
        <v>546.51</v>
      </c>
      <c r="K355" s="24">
        <f t="shared" si="20"/>
        <v>444.62946219999986</v>
      </c>
      <c r="L355" s="23"/>
    </row>
    <row r="356" spans="1:12" ht="15.75" x14ac:dyDescent="0.15">
      <c r="A356" s="32" t="s">
        <v>60</v>
      </c>
      <c r="B356" s="31" t="s">
        <v>59</v>
      </c>
      <c r="C356" s="30" t="s">
        <v>24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24">
        <f t="shared" si="19"/>
        <v>0</v>
      </c>
      <c r="K356" s="24">
        <f t="shared" si="20"/>
        <v>0</v>
      </c>
      <c r="L356" s="17"/>
    </row>
    <row r="357" spans="1:12" ht="31.5" x14ac:dyDescent="0.15">
      <c r="A357" s="32" t="s">
        <v>58</v>
      </c>
      <c r="B357" s="36" t="s">
        <v>57</v>
      </c>
      <c r="C357" s="30" t="s">
        <v>24</v>
      </c>
      <c r="D357" s="18">
        <v>0</v>
      </c>
      <c r="E357" s="18">
        <v>0</v>
      </c>
      <c r="F357" s="18">
        <v>0</v>
      </c>
      <c r="G357" s="18">
        <v>0</v>
      </c>
      <c r="H357" s="18">
        <v>0</v>
      </c>
      <c r="I357" s="18">
        <v>0</v>
      </c>
      <c r="J357" s="24">
        <f t="shared" si="19"/>
        <v>0</v>
      </c>
      <c r="K357" s="24">
        <f t="shared" si="20"/>
        <v>0</v>
      </c>
      <c r="L357" s="17"/>
    </row>
    <row r="358" spans="1:12" ht="15.75" x14ac:dyDescent="0.15">
      <c r="A358" s="32" t="s">
        <v>56</v>
      </c>
      <c r="B358" s="36" t="s">
        <v>55</v>
      </c>
      <c r="C358" s="30" t="s">
        <v>24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24">
        <f t="shared" si="19"/>
        <v>0</v>
      </c>
      <c r="K358" s="24">
        <f t="shared" si="20"/>
        <v>0</v>
      </c>
      <c r="L358" s="17"/>
    </row>
    <row r="359" spans="1:12" ht="15.75" x14ac:dyDescent="0.15">
      <c r="A359" s="32" t="s">
        <v>54</v>
      </c>
      <c r="B359" s="36" t="s">
        <v>53</v>
      </c>
      <c r="C359" s="30" t="s">
        <v>24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24">
        <f t="shared" si="19"/>
        <v>0</v>
      </c>
      <c r="K359" s="24">
        <f t="shared" si="20"/>
        <v>0</v>
      </c>
      <c r="L359" s="17"/>
    </row>
    <row r="360" spans="1:12" ht="15.75" x14ac:dyDescent="0.15">
      <c r="A360" s="35" t="s">
        <v>52</v>
      </c>
      <c r="B360" s="34" t="s">
        <v>51</v>
      </c>
      <c r="C360" s="33" t="s">
        <v>50</v>
      </c>
      <c r="D360" s="24">
        <v>9591.56</v>
      </c>
      <c r="E360" s="24">
        <v>11741.740100000001</v>
      </c>
      <c r="F360" s="24">
        <v>11741.750600000001</v>
      </c>
      <c r="G360" s="24">
        <v>11741.740100000001</v>
      </c>
      <c r="H360" s="24">
        <v>11741.750600000001</v>
      </c>
      <c r="I360" s="24">
        <v>11741.740100000001</v>
      </c>
      <c r="J360" s="24">
        <f>+H360</f>
        <v>11741.750600000001</v>
      </c>
      <c r="K360" s="24">
        <f>+(E360+G360+I360)/3</f>
        <v>11741.740100000001</v>
      </c>
      <c r="L360" s="23"/>
    </row>
    <row r="361" spans="1:12" ht="31.5" x14ac:dyDescent="0.15">
      <c r="A361" s="32" t="s">
        <v>49</v>
      </c>
      <c r="B361" s="31" t="s">
        <v>48</v>
      </c>
      <c r="C361" s="30" t="s">
        <v>10</v>
      </c>
      <c r="D361" s="24">
        <v>107.00914999999999</v>
      </c>
      <c r="E361" s="24">
        <f>E53-E72-E73-E66</f>
        <v>228.15082000000083</v>
      </c>
      <c r="F361" s="24">
        <v>373.86607665996257</v>
      </c>
      <c r="G361" s="24">
        <f>G53-G72-G73-G66</f>
        <v>583.9035695999994</v>
      </c>
      <c r="H361" s="24">
        <v>651.91929286856862</v>
      </c>
      <c r="I361" s="24">
        <f>I53-I72-I73-I66</f>
        <v>977.49004800000012</v>
      </c>
      <c r="J361" s="24">
        <f>J53-J72-J73-J66</f>
        <v>761.89352217844566</v>
      </c>
      <c r="K361" s="24">
        <f>K53-K72-K73-K66</f>
        <v>1789.5444376000023</v>
      </c>
      <c r="L361" s="23"/>
    </row>
    <row r="362" spans="1:12" ht="15.75" x14ac:dyDescent="0.15">
      <c r="A362" s="15" t="s">
        <v>47</v>
      </c>
      <c r="B362" s="14" t="s">
        <v>46</v>
      </c>
      <c r="C362" s="13" t="s">
        <v>34</v>
      </c>
      <c r="D362" s="27" t="s">
        <v>33</v>
      </c>
      <c r="E362" s="27" t="s">
        <v>33</v>
      </c>
      <c r="F362" s="27" t="s">
        <v>33</v>
      </c>
      <c r="G362" s="27" t="s">
        <v>33</v>
      </c>
      <c r="H362" s="27" t="s">
        <v>33</v>
      </c>
      <c r="I362" s="27" t="s">
        <v>33</v>
      </c>
      <c r="J362" s="27" t="s">
        <v>33</v>
      </c>
      <c r="K362" s="27" t="s">
        <v>33</v>
      </c>
      <c r="L362" s="26"/>
    </row>
    <row r="363" spans="1:12" ht="15.75" x14ac:dyDescent="0.15">
      <c r="A363" s="32" t="s">
        <v>45</v>
      </c>
      <c r="B363" s="31" t="s">
        <v>44</v>
      </c>
      <c r="C363" s="30" t="s">
        <v>17</v>
      </c>
      <c r="D363" s="29">
        <v>0</v>
      </c>
      <c r="E363" s="29">
        <v>0</v>
      </c>
      <c r="F363" s="29">
        <v>0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8"/>
    </row>
    <row r="364" spans="1:12" ht="15.75" x14ac:dyDescent="0.15">
      <c r="A364" s="32" t="s">
        <v>43</v>
      </c>
      <c r="B364" s="31" t="s">
        <v>42</v>
      </c>
      <c r="C364" s="30" t="s">
        <v>41</v>
      </c>
      <c r="D364" s="29">
        <v>0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8"/>
    </row>
    <row r="365" spans="1:12" ht="47.25" x14ac:dyDescent="0.15">
      <c r="A365" s="32" t="s">
        <v>40</v>
      </c>
      <c r="B365" s="31" t="s">
        <v>39</v>
      </c>
      <c r="C365" s="30" t="s">
        <v>10</v>
      </c>
      <c r="D365" s="29">
        <v>0</v>
      </c>
      <c r="E365" s="29">
        <v>0</v>
      </c>
      <c r="F365" s="29">
        <v>0</v>
      </c>
      <c r="G365" s="29">
        <v>0</v>
      </c>
      <c r="H365" s="29">
        <v>0</v>
      </c>
      <c r="I365" s="29">
        <v>0</v>
      </c>
      <c r="J365" s="29">
        <v>0</v>
      </c>
      <c r="K365" s="29">
        <v>0</v>
      </c>
      <c r="L365" s="28"/>
    </row>
    <row r="366" spans="1:12" ht="31.5" x14ac:dyDescent="0.15">
      <c r="A366" s="32" t="s">
        <v>38</v>
      </c>
      <c r="B366" s="31" t="s">
        <v>37</v>
      </c>
      <c r="C366" s="30" t="s">
        <v>10</v>
      </c>
      <c r="D366" s="29">
        <v>0</v>
      </c>
      <c r="E366" s="29">
        <v>0</v>
      </c>
      <c r="F366" s="29">
        <v>0</v>
      </c>
      <c r="G366" s="29">
        <v>0</v>
      </c>
      <c r="H366" s="29">
        <v>0</v>
      </c>
      <c r="I366" s="29">
        <v>0</v>
      </c>
      <c r="J366" s="29">
        <v>0</v>
      </c>
      <c r="K366" s="29">
        <v>0</v>
      </c>
      <c r="L366" s="28"/>
    </row>
    <row r="367" spans="1:12" s="16" customFormat="1" ht="15.75" x14ac:dyDescent="0.15">
      <c r="A367" s="15" t="s">
        <v>36</v>
      </c>
      <c r="B367" s="14" t="s">
        <v>35</v>
      </c>
      <c r="C367" s="13" t="s">
        <v>34</v>
      </c>
      <c r="D367" s="27" t="s">
        <v>33</v>
      </c>
      <c r="E367" s="27" t="s">
        <v>33</v>
      </c>
      <c r="F367" s="27" t="s">
        <v>33</v>
      </c>
      <c r="G367" s="27" t="s">
        <v>33</v>
      </c>
      <c r="H367" s="27" t="s">
        <v>33</v>
      </c>
      <c r="I367" s="27" t="s">
        <v>33</v>
      </c>
      <c r="J367" s="27" t="s">
        <v>33</v>
      </c>
      <c r="K367" s="27" t="s">
        <v>33</v>
      </c>
      <c r="L367" s="26"/>
    </row>
    <row r="368" spans="1:12" s="16" customFormat="1" ht="15.75" x14ac:dyDescent="0.15">
      <c r="A368" s="21" t="s">
        <v>32</v>
      </c>
      <c r="B368" s="22" t="s">
        <v>31</v>
      </c>
      <c r="C368" s="19" t="s">
        <v>24</v>
      </c>
      <c r="D368" s="18">
        <v>0</v>
      </c>
      <c r="E368" s="18">
        <v>0</v>
      </c>
      <c r="F368" s="24">
        <v>0</v>
      </c>
      <c r="G368" s="18">
        <v>0</v>
      </c>
      <c r="H368" s="24">
        <v>0</v>
      </c>
      <c r="I368" s="24">
        <v>0</v>
      </c>
      <c r="J368" s="24">
        <v>0</v>
      </c>
      <c r="K368" s="24">
        <v>0</v>
      </c>
      <c r="L368" s="23"/>
    </row>
    <row r="369" spans="1:12" s="16" customFormat="1" ht="47.25" x14ac:dyDescent="0.15">
      <c r="A369" s="21" t="s">
        <v>30</v>
      </c>
      <c r="B369" s="20" t="s">
        <v>29</v>
      </c>
      <c r="C369" s="19" t="s">
        <v>24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24">
        <v>0</v>
      </c>
      <c r="K369" s="24">
        <v>0</v>
      </c>
      <c r="L369" s="23"/>
    </row>
    <row r="370" spans="1:12" s="16" customFormat="1" ht="47.25" x14ac:dyDescent="0.15">
      <c r="A370" s="21" t="s">
        <v>28</v>
      </c>
      <c r="B370" s="20" t="s">
        <v>27</v>
      </c>
      <c r="C370" s="19" t="s">
        <v>24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24">
        <v>0</v>
      </c>
      <c r="K370" s="24">
        <v>0</v>
      </c>
      <c r="L370" s="23"/>
    </row>
    <row r="371" spans="1:12" s="16" customFormat="1" ht="31.5" x14ac:dyDescent="0.15">
      <c r="A371" s="21" t="s">
        <v>26</v>
      </c>
      <c r="B371" s="20" t="s">
        <v>25</v>
      </c>
      <c r="C371" s="19" t="s">
        <v>24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25"/>
    </row>
    <row r="372" spans="1:12" s="16" customFormat="1" ht="15.75" x14ac:dyDescent="0.15">
      <c r="A372" s="21" t="s">
        <v>23</v>
      </c>
      <c r="B372" s="22" t="s">
        <v>22</v>
      </c>
      <c r="C372" s="19" t="s">
        <v>17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24">
        <v>0</v>
      </c>
      <c r="K372" s="24">
        <v>0</v>
      </c>
      <c r="L372" s="23"/>
    </row>
    <row r="373" spans="1:12" s="16" customFormat="1" ht="31.5" x14ac:dyDescent="0.15">
      <c r="A373" s="21" t="s">
        <v>21</v>
      </c>
      <c r="B373" s="20" t="s">
        <v>20</v>
      </c>
      <c r="C373" s="19" t="s">
        <v>17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24">
        <v>0</v>
      </c>
      <c r="K373" s="24">
        <v>0</v>
      </c>
      <c r="L373" s="23"/>
    </row>
    <row r="374" spans="1:12" s="16" customFormat="1" ht="15.75" x14ac:dyDescent="0.15">
      <c r="A374" s="21" t="s">
        <v>19</v>
      </c>
      <c r="B374" s="20" t="s">
        <v>18</v>
      </c>
      <c r="C374" s="19" t="s">
        <v>17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7"/>
    </row>
    <row r="375" spans="1:12" s="16" customFormat="1" ht="31.5" x14ac:dyDescent="0.15">
      <c r="A375" s="21" t="s">
        <v>16</v>
      </c>
      <c r="B375" s="22" t="s">
        <v>15</v>
      </c>
      <c r="C375" s="19" t="s">
        <v>10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7"/>
    </row>
    <row r="376" spans="1:12" s="16" customFormat="1" ht="15.75" x14ac:dyDescent="0.15">
      <c r="A376" s="21" t="s">
        <v>14</v>
      </c>
      <c r="B376" s="20" t="s">
        <v>13</v>
      </c>
      <c r="C376" s="19" t="s">
        <v>10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7"/>
    </row>
    <row r="377" spans="1:12" s="16" customFormat="1" ht="15.75" x14ac:dyDescent="0.15">
      <c r="A377" s="21" t="s">
        <v>12</v>
      </c>
      <c r="B377" s="20" t="s">
        <v>11</v>
      </c>
      <c r="C377" s="19" t="s">
        <v>10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7"/>
    </row>
    <row r="378" spans="1:12" ht="15.75" x14ac:dyDescent="0.15">
      <c r="A378" s="15" t="s">
        <v>9</v>
      </c>
      <c r="B378" s="14" t="s">
        <v>8</v>
      </c>
      <c r="C378" s="13" t="s">
        <v>7</v>
      </c>
      <c r="D378" s="12">
        <v>76</v>
      </c>
      <c r="E378" s="12">
        <v>14</v>
      </c>
      <c r="F378" s="12">
        <v>146</v>
      </c>
      <c r="G378" s="12">
        <f>33.75+5</f>
        <v>38.75</v>
      </c>
      <c r="H378" s="12">
        <v>150</v>
      </c>
      <c r="I378" s="12">
        <v>208</v>
      </c>
      <c r="J378" s="12" t="s">
        <v>6</v>
      </c>
      <c r="K378" s="12" t="s">
        <v>6</v>
      </c>
      <c r="L378" s="11"/>
    </row>
    <row r="379" spans="1:12" ht="30" customHeight="1" x14ac:dyDescent="0.15">
      <c r="A379" s="119"/>
      <c r="B379" s="120"/>
      <c r="C379" s="120"/>
      <c r="D379" s="120"/>
      <c r="E379" s="120"/>
      <c r="F379" s="120"/>
      <c r="G379" s="120"/>
      <c r="H379" s="120"/>
      <c r="I379" s="120"/>
      <c r="J379" s="120"/>
      <c r="K379" s="10"/>
      <c r="L379" s="10"/>
    </row>
    <row r="380" spans="1:12" ht="15.75" x14ac:dyDescent="0.15">
      <c r="D380" s="3"/>
      <c r="E380" s="3"/>
      <c r="F380" s="4"/>
      <c r="G380" s="4"/>
      <c r="H380" s="4"/>
      <c r="I380" s="4"/>
      <c r="J380" s="4"/>
      <c r="K380" s="4"/>
      <c r="L380" s="4"/>
    </row>
    <row r="381" spans="1:12" ht="15.75" x14ac:dyDescent="0.15">
      <c r="D381" s="3"/>
      <c r="E381" s="3"/>
      <c r="F381" s="4"/>
      <c r="G381" s="9">
        <f>+G203/12/G378</f>
        <v>7.7956881720430082E-2</v>
      </c>
      <c r="H381" s="4"/>
      <c r="I381" s="4"/>
      <c r="J381" s="4"/>
      <c r="K381" s="4"/>
      <c r="L381" s="4"/>
    </row>
    <row r="382" spans="1:12" ht="12" x14ac:dyDescent="0.2">
      <c r="B382" s="8" t="s">
        <v>5</v>
      </c>
      <c r="C382" s="7"/>
      <c r="D382" s="6"/>
      <c r="E382" s="6"/>
      <c r="F382" s="5"/>
      <c r="G382" s="5"/>
      <c r="H382" s="5"/>
      <c r="I382" s="5"/>
      <c r="J382" s="5"/>
      <c r="K382" s="5"/>
      <c r="L382" s="5"/>
    </row>
    <row r="383" spans="1:12" ht="12" x14ac:dyDescent="0.2">
      <c r="B383" s="8" t="s">
        <v>4</v>
      </c>
      <c r="C383" s="7"/>
      <c r="D383" s="6"/>
      <c r="E383" s="6"/>
      <c r="F383" s="5"/>
      <c r="G383" s="5"/>
      <c r="H383" s="5"/>
      <c r="I383" s="5"/>
      <c r="J383" s="5"/>
      <c r="K383" s="5"/>
      <c r="L383" s="5"/>
    </row>
    <row r="384" spans="1:12" ht="12" x14ac:dyDescent="0.2">
      <c r="B384" s="8" t="s">
        <v>3</v>
      </c>
      <c r="C384" s="7"/>
      <c r="D384" s="6"/>
      <c r="E384" s="6"/>
      <c r="F384" s="5"/>
      <c r="G384" s="5"/>
      <c r="H384" s="5"/>
      <c r="I384" s="5"/>
      <c r="J384" s="5"/>
      <c r="K384" s="5"/>
      <c r="L384" s="5"/>
    </row>
    <row r="385" spans="2:12" ht="12" x14ac:dyDescent="0.2">
      <c r="B385" s="8" t="s">
        <v>2</v>
      </c>
      <c r="C385" s="7"/>
      <c r="D385" s="6"/>
      <c r="E385" s="6"/>
      <c r="F385" s="5"/>
      <c r="G385" s="5"/>
      <c r="H385" s="5"/>
      <c r="I385" s="5"/>
      <c r="J385" s="5"/>
      <c r="K385" s="5"/>
      <c r="L385" s="5"/>
    </row>
    <row r="386" spans="2:12" ht="12" x14ac:dyDescent="0.2">
      <c r="B386" s="8" t="s">
        <v>1</v>
      </c>
      <c r="C386" s="7"/>
      <c r="D386" s="6"/>
      <c r="E386" s="6"/>
      <c r="F386" s="5"/>
      <c r="G386" s="5"/>
      <c r="H386" s="5"/>
      <c r="I386" s="5"/>
      <c r="J386" s="5"/>
      <c r="K386" s="5"/>
      <c r="L386" s="5"/>
    </row>
    <row r="387" spans="2:12" ht="12" x14ac:dyDescent="0.2">
      <c r="B387" s="8" t="s">
        <v>0</v>
      </c>
      <c r="C387" s="7"/>
      <c r="D387" s="6"/>
      <c r="E387" s="6"/>
      <c r="F387" s="5"/>
      <c r="G387" s="5"/>
      <c r="H387" s="5"/>
      <c r="I387" s="5"/>
      <c r="J387" s="5"/>
      <c r="K387" s="5"/>
      <c r="L387" s="5"/>
    </row>
    <row r="388" spans="2:12" ht="15.75" x14ac:dyDescent="0.15">
      <c r="D388" s="3"/>
      <c r="E388" s="3"/>
      <c r="F388" s="4"/>
      <c r="G388" s="4"/>
      <c r="H388" s="4"/>
      <c r="I388" s="4"/>
      <c r="J388" s="4"/>
      <c r="K388" s="4"/>
      <c r="L388" s="4"/>
    </row>
    <row r="389" spans="2:12" ht="15.75" x14ac:dyDescent="0.15">
      <c r="D389" s="3"/>
      <c r="E389" s="3"/>
      <c r="F389" s="4"/>
      <c r="G389" s="4"/>
      <c r="H389" s="4"/>
      <c r="I389" s="4"/>
      <c r="J389" s="4"/>
      <c r="K389" s="4"/>
      <c r="L389" s="4"/>
    </row>
    <row r="390" spans="2:12" ht="15.75" x14ac:dyDescent="0.15">
      <c r="D390" s="3"/>
      <c r="E390" s="3"/>
      <c r="F390" s="4"/>
      <c r="G390" s="4"/>
      <c r="H390" s="4"/>
      <c r="I390" s="4"/>
      <c r="J390" s="4"/>
      <c r="K390" s="4"/>
      <c r="L390" s="4"/>
    </row>
    <row r="391" spans="2:12" ht="15.75" x14ac:dyDescent="0.15">
      <c r="D391" s="3"/>
      <c r="E391" s="3"/>
      <c r="F391" s="4"/>
      <c r="G391" s="4"/>
      <c r="H391" s="4"/>
      <c r="I391" s="4"/>
      <c r="J391" s="4"/>
      <c r="K391" s="4"/>
      <c r="L391" s="4"/>
    </row>
    <row r="392" spans="2:12" ht="15.75" x14ac:dyDescent="0.15">
      <c r="D392" s="3"/>
      <c r="E392" s="3"/>
      <c r="F392" s="4"/>
      <c r="G392" s="4"/>
      <c r="H392" s="4"/>
      <c r="I392" s="4"/>
      <c r="J392" s="4"/>
      <c r="K392" s="4"/>
      <c r="L392" s="4"/>
    </row>
    <row r="393" spans="2:12" ht="15.75" x14ac:dyDescent="0.15">
      <c r="D393" s="3"/>
      <c r="E393" s="3"/>
      <c r="F393" s="4"/>
      <c r="G393" s="4"/>
      <c r="H393" s="4"/>
      <c r="I393" s="4"/>
      <c r="J393" s="4"/>
      <c r="K393" s="4"/>
      <c r="L393" s="4"/>
    </row>
    <row r="394" spans="2:12" ht="15.75" x14ac:dyDescent="0.15">
      <c r="D394" s="3"/>
      <c r="E394" s="3"/>
      <c r="F394" s="4"/>
      <c r="G394" s="4"/>
      <c r="H394" s="4"/>
      <c r="I394" s="4"/>
      <c r="J394" s="4"/>
      <c r="K394" s="4"/>
      <c r="L394" s="4"/>
    </row>
    <row r="395" spans="2:12" ht="15.75" x14ac:dyDescent="0.15">
      <c r="D395" s="3"/>
      <c r="E395" s="3"/>
      <c r="F395" s="4"/>
      <c r="G395" s="4"/>
      <c r="H395" s="4"/>
      <c r="I395" s="4"/>
      <c r="J395" s="4"/>
      <c r="K395" s="4"/>
      <c r="L395" s="4"/>
    </row>
    <row r="396" spans="2:12" ht="15.75" x14ac:dyDescent="0.15">
      <c r="D396" s="3"/>
      <c r="E396" s="3"/>
      <c r="F396" s="4"/>
      <c r="G396" s="4"/>
      <c r="H396" s="4"/>
      <c r="I396" s="4"/>
      <c r="J396" s="4"/>
      <c r="K396" s="4"/>
      <c r="L396" s="4"/>
    </row>
    <row r="397" spans="2:12" ht="15.75" x14ac:dyDescent="0.15">
      <c r="D397" s="3"/>
      <c r="E397" s="3"/>
      <c r="F397" s="4"/>
      <c r="G397" s="4"/>
      <c r="H397" s="4"/>
      <c r="I397" s="4"/>
      <c r="J397" s="4"/>
      <c r="K397" s="4"/>
      <c r="L397" s="4"/>
    </row>
    <row r="398" spans="2:12" ht="15.75" x14ac:dyDescent="0.15">
      <c r="D398" s="3"/>
      <c r="E398" s="3"/>
      <c r="F398" s="4"/>
      <c r="G398" s="4"/>
      <c r="H398" s="4"/>
      <c r="I398" s="4"/>
      <c r="J398" s="4"/>
      <c r="K398" s="4"/>
      <c r="L398" s="4"/>
    </row>
    <row r="399" spans="2:12" ht="15.75" x14ac:dyDescent="0.15">
      <c r="D399" s="3"/>
      <c r="E399" s="3"/>
      <c r="F399" s="4"/>
      <c r="G399" s="4"/>
      <c r="H399" s="4"/>
      <c r="I399" s="4"/>
      <c r="J399" s="4"/>
      <c r="K399" s="4"/>
      <c r="L399" s="4"/>
    </row>
    <row r="400" spans="2:12" ht="15.75" x14ac:dyDescent="0.15">
      <c r="D400" s="3"/>
      <c r="E400" s="3"/>
      <c r="F400" s="4"/>
      <c r="G400" s="4"/>
      <c r="H400" s="4"/>
      <c r="I400" s="4"/>
      <c r="J400" s="4"/>
      <c r="K400" s="4"/>
      <c r="L400" s="4"/>
    </row>
    <row r="401" spans="4:12" ht="15.75" x14ac:dyDescent="0.15">
      <c r="D401" s="3"/>
      <c r="E401" s="3"/>
      <c r="F401" s="4"/>
      <c r="G401" s="4"/>
      <c r="H401" s="4"/>
      <c r="I401" s="4"/>
      <c r="J401" s="4"/>
      <c r="K401" s="4"/>
      <c r="L401" s="4"/>
    </row>
    <row r="402" spans="4:12" ht="15.75" x14ac:dyDescent="0.15">
      <c r="D402" s="3"/>
      <c r="E402" s="3"/>
      <c r="F402" s="4"/>
      <c r="G402" s="4"/>
      <c r="H402" s="4"/>
      <c r="I402" s="4"/>
      <c r="J402" s="4"/>
      <c r="K402" s="4"/>
      <c r="L402" s="4"/>
    </row>
    <row r="403" spans="4:12" ht="15.75" x14ac:dyDescent="0.15">
      <c r="D403" s="3"/>
      <c r="E403" s="3"/>
      <c r="F403" s="4"/>
      <c r="G403" s="4"/>
      <c r="H403" s="4"/>
      <c r="I403" s="4"/>
      <c r="J403" s="4"/>
      <c r="K403" s="4"/>
      <c r="L403" s="4"/>
    </row>
    <row r="404" spans="4:12" ht="15.75" x14ac:dyDescent="0.15">
      <c r="D404" s="3"/>
      <c r="E404" s="3"/>
      <c r="F404" s="4"/>
      <c r="G404" s="4"/>
      <c r="H404" s="4"/>
      <c r="I404" s="4"/>
      <c r="J404" s="4"/>
      <c r="K404" s="4"/>
      <c r="L404" s="4"/>
    </row>
    <row r="405" spans="4:12" ht="15.75" x14ac:dyDescent="0.15">
      <c r="D405" s="3"/>
      <c r="E405" s="3"/>
      <c r="F405" s="4"/>
      <c r="G405" s="4"/>
      <c r="H405" s="4"/>
      <c r="I405" s="4"/>
      <c r="J405" s="4"/>
      <c r="K405" s="4"/>
      <c r="L405" s="4"/>
    </row>
    <row r="406" spans="4:12" ht="15.75" x14ac:dyDescent="0.15">
      <c r="D406" s="3"/>
      <c r="E406" s="3"/>
      <c r="F406" s="4"/>
      <c r="G406" s="4"/>
      <c r="H406" s="4"/>
      <c r="I406" s="4"/>
      <c r="J406" s="4"/>
      <c r="K406" s="4"/>
      <c r="L406" s="4"/>
    </row>
    <row r="407" spans="4:12" ht="15.75" x14ac:dyDescent="0.15">
      <c r="D407" s="3"/>
      <c r="E407" s="3"/>
      <c r="F407" s="4"/>
      <c r="G407" s="4"/>
      <c r="H407" s="4"/>
      <c r="I407" s="4"/>
      <c r="J407" s="4"/>
      <c r="K407" s="4"/>
      <c r="L407" s="4"/>
    </row>
    <row r="408" spans="4:12" ht="15.75" x14ac:dyDescent="0.15">
      <c r="D408" s="3"/>
      <c r="E408" s="3"/>
      <c r="F408" s="4"/>
      <c r="G408" s="4"/>
      <c r="H408" s="4"/>
      <c r="I408" s="4"/>
      <c r="J408" s="4"/>
      <c r="K408" s="4"/>
      <c r="L408" s="4"/>
    </row>
    <row r="409" spans="4:12" ht="15.75" x14ac:dyDescent="0.15">
      <c r="D409" s="3"/>
      <c r="E409" s="3"/>
      <c r="F409" s="4"/>
      <c r="G409" s="4"/>
      <c r="H409" s="4"/>
      <c r="I409" s="4"/>
      <c r="J409" s="4"/>
      <c r="K409" s="4"/>
      <c r="L409" s="4"/>
    </row>
    <row r="410" spans="4:12" ht="15.75" x14ac:dyDescent="0.15">
      <c r="D410" s="3"/>
      <c r="E410" s="3"/>
      <c r="F410" s="4"/>
      <c r="G410" s="4"/>
      <c r="H410" s="4"/>
      <c r="I410" s="4"/>
      <c r="J410" s="4"/>
      <c r="K410" s="4"/>
      <c r="L410" s="4"/>
    </row>
    <row r="411" spans="4:12" ht="15.75" x14ac:dyDescent="0.15">
      <c r="D411" s="3"/>
      <c r="E411" s="3"/>
      <c r="F411" s="4"/>
      <c r="G411" s="4"/>
      <c r="H411" s="4"/>
      <c r="I411" s="4"/>
      <c r="J411" s="4"/>
      <c r="K411" s="4"/>
      <c r="L411" s="4"/>
    </row>
    <row r="412" spans="4:12" ht="15.75" x14ac:dyDescent="0.15">
      <c r="D412" s="3"/>
      <c r="E412" s="3"/>
      <c r="F412" s="4"/>
      <c r="G412" s="4"/>
      <c r="H412" s="4"/>
      <c r="I412" s="4"/>
      <c r="J412" s="4"/>
      <c r="K412" s="4"/>
      <c r="L412" s="4"/>
    </row>
    <row r="413" spans="4:12" ht="15.75" x14ac:dyDescent="0.15">
      <c r="D413" s="3"/>
      <c r="E413" s="3"/>
      <c r="F413" s="4"/>
      <c r="G413" s="4"/>
      <c r="H413" s="4"/>
      <c r="I413" s="4"/>
      <c r="J413" s="4"/>
      <c r="K413" s="4"/>
      <c r="L413" s="4"/>
    </row>
    <row r="414" spans="4:12" ht="15.75" x14ac:dyDescent="0.15">
      <c r="D414" s="3"/>
      <c r="E414" s="3"/>
      <c r="F414" s="4"/>
      <c r="G414" s="4"/>
      <c r="H414" s="4"/>
      <c r="I414" s="4"/>
      <c r="J414" s="4"/>
      <c r="K414" s="4"/>
      <c r="L414" s="4"/>
    </row>
    <row r="415" spans="4:12" ht="15.75" x14ac:dyDescent="0.15">
      <c r="D415" s="3"/>
      <c r="E415" s="3"/>
      <c r="F415" s="4"/>
      <c r="G415" s="4"/>
      <c r="H415" s="4"/>
      <c r="I415" s="4"/>
      <c r="J415" s="4"/>
      <c r="K415" s="4"/>
      <c r="L415" s="4"/>
    </row>
    <row r="416" spans="4:12" ht="15.75" x14ac:dyDescent="0.15">
      <c r="D416" s="3"/>
      <c r="E416" s="3"/>
      <c r="F416" s="4"/>
      <c r="G416" s="4"/>
      <c r="H416" s="4"/>
      <c r="I416" s="4"/>
      <c r="J416" s="4"/>
      <c r="K416" s="4"/>
      <c r="L416" s="4"/>
    </row>
    <row r="417" spans="4:12" ht="15.75" x14ac:dyDescent="0.15">
      <c r="D417" s="3"/>
      <c r="E417" s="3"/>
      <c r="F417" s="4"/>
      <c r="G417" s="4"/>
      <c r="H417" s="4"/>
      <c r="I417" s="4"/>
      <c r="J417" s="4"/>
      <c r="K417" s="4"/>
      <c r="L417" s="4"/>
    </row>
    <row r="418" spans="4:12" ht="15.75" x14ac:dyDescent="0.15">
      <c r="D418" s="3"/>
      <c r="E418" s="3"/>
      <c r="F418" s="4"/>
      <c r="G418" s="4"/>
      <c r="H418" s="4"/>
      <c r="I418" s="4"/>
      <c r="J418" s="4"/>
      <c r="K418" s="4"/>
      <c r="L418" s="4"/>
    </row>
    <row r="419" spans="4:12" ht="15.75" x14ac:dyDescent="0.15">
      <c r="D419" s="3"/>
      <c r="E419" s="3"/>
      <c r="F419" s="4"/>
      <c r="G419" s="4"/>
      <c r="H419" s="4"/>
      <c r="I419" s="4"/>
      <c r="J419" s="4"/>
      <c r="K419" s="4"/>
      <c r="L419" s="4"/>
    </row>
    <row r="420" spans="4:12" x14ac:dyDescent="0.15">
      <c r="D420" s="3"/>
      <c r="E420" s="3"/>
      <c r="F420" s="3"/>
      <c r="G420" s="3"/>
      <c r="H420" s="3"/>
      <c r="I420" s="3"/>
      <c r="J420" s="3"/>
      <c r="K420" s="3"/>
      <c r="L420" s="3"/>
    </row>
    <row r="421" spans="4:12" x14ac:dyDescent="0.15">
      <c r="D421" s="3"/>
      <c r="E421" s="3"/>
      <c r="F421" s="3"/>
      <c r="G421" s="3"/>
      <c r="H421" s="3"/>
      <c r="I421" s="3"/>
      <c r="J421" s="3"/>
      <c r="K421" s="3"/>
      <c r="L421" s="3"/>
    </row>
    <row r="422" spans="4:12" x14ac:dyDescent="0.15">
      <c r="D422" s="3"/>
      <c r="E422" s="3"/>
      <c r="F422" s="3"/>
      <c r="G422" s="3"/>
      <c r="H422" s="3"/>
      <c r="I422" s="3"/>
      <c r="J422" s="3"/>
      <c r="K422" s="3"/>
      <c r="L422" s="3"/>
    </row>
  </sheetData>
  <mergeCells count="16">
    <mergeCell ref="B19:J19"/>
    <mergeCell ref="B7:J7"/>
    <mergeCell ref="B10:J10"/>
    <mergeCell ref="B14:J14"/>
    <mergeCell ref="B16:J16"/>
    <mergeCell ref="A18:J18"/>
    <mergeCell ref="A29:J29"/>
    <mergeCell ref="A175:J175"/>
    <mergeCell ref="A329:J329"/>
    <mergeCell ref="A379:J379"/>
    <mergeCell ref="B20:F20"/>
    <mergeCell ref="B24:J24"/>
    <mergeCell ref="A26:A27"/>
    <mergeCell ref="B26:B27"/>
    <mergeCell ref="C26:C27"/>
    <mergeCell ref="D26:J26"/>
  </mergeCells>
  <pageMargins left="0.11811023622047245" right="0.11811023622047245" top="0.15748031496062992" bottom="0.15748031496062992" header="0.31496062992125984" footer="0.31496062992125984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Фин.план (2)_итог (2)</vt:lpstr>
      <vt:lpstr>'Фин.план (2)_итог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Крамковская Александра Владимировна</dc:creator>
  <cp:lastModifiedBy>Ляшенко Максим Викторович</cp:lastModifiedBy>
  <dcterms:created xsi:type="dcterms:W3CDTF">2021-10-29T13:56:52Z</dcterms:created>
  <dcterms:modified xsi:type="dcterms:W3CDTF">2021-10-29T14:21:13Z</dcterms:modified>
</cp:coreProperties>
</file>